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42300_疾病感染症対策課_難病対策班\50　指定医・指定医療機関（H31.4～）\HP関係\R8.3.31時点\"/>
    </mc:Choice>
  </mc:AlternateContent>
  <bookViews>
    <workbookView xWindow="0" yWindow="0" windowWidth="20490" windowHeight="6780"/>
  </bookViews>
  <sheets>
    <sheet name="指定医（難病）" sheetId="1" r:id="rId1"/>
  </sheets>
  <definedNames>
    <definedName name="_xlnm._FilterDatabase" localSheetId="0" hidden="1">'指定医（難病）'!$A$1:$G$671</definedName>
    <definedName name="_xlnm.Print_Area" localSheetId="0">'指定医（難病）'!$A$1:$G$671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F3" i="1"/>
  <c r="F4" i="1"/>
  <c r="E5" i="1"/>
  <c r="F5" i="1"/>
  <c r="E6" i="1"/>
  <c r="F6" i="1"/>
  <c r="F7" i="1"/>
  <c r="F8" i="1"/>
  <c r="E9" i="1"/>
  <c r="F9" i="1"/>
  <c r="E10" i="1"/>
  <c r="F10" i="1"/>
  <c r="F11" i="1"/>
  <c r="E12" i="1"/>
  <c r="F12" i="1"/>
  <c r="F13" i="1"/>
  <c r="E14" i="1"/>
  <c r="F14" i="1"/>
  <c r="F15" i="1"/>
  <c r="F16" i="1"/>
  <c r="F17" i="1"/>
  <c r="F18" i="1"/>
  <c r="E19" i="1"/>
  <c r="F19" i="1"/>
  <c r="E20" i="1"/>
  <c r="F20" i="1"/>
  <c r="E21" i="1"/>
  <c r="F21" i="1"/>
  <c r="E22" i="1"/>
  <c r="F22" i="1"/>
  <c r="F23" i="1"/>
  <c r="F24" i="1"/>
  <c r="F25" i="1"/>
  <c r="F26" i="1"/>
  <c r="F27" i="1"/>
  <c r="F28" i="1"/>
  <c r="F29" i="1"/>
  <c r="E30" i="1"/>
  <c r="F30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F40" i="1"/>
  <c r="F41" i="1"/>
  <c r="F42" i="1"/>
  <c r="F43" i="1"/>
  <c r="E44" i="1"/>
  <c r="F44" i="1"/>
  <c r="F45" i="1"/>
  <c r="E46" i="1"/>
  <c r="F46" i="1"/>
  <c r="F47" i="1"/>
  <c r="E48" i="1"/>
  <c r="F48" i="1"/>
  <c r="E49" i="1"/>
  <c r="F49" i="1"/>
  <c r="E50" i="1"/>
  <c r="F50" i="1"/>
  <c r="E51" i="1"/>
  <c r="F51" i="1"/>
  <c r="E52" i="1"/>
  <c r="F52" i="1"/>
  <c r="F53" i="1"/>
  <c r="F54" i="1"/>
  <c r="F55" i="1"/>
  <c r="E56" i="1"/>
  <c r="F56" i="1"/>
  <c r="F57" i="1"/>
  <c r="F58" i="1"/>
  <c r="E59" i="1"/>
  <c r="F59" i="1"/>
  <c r="E60" i="1"/>
  <c r="F60" i="1"/>
  <c r="E61" i="1"/>
  <c r="F61" i="1"/>
  <c r="E62" i="1"/>
  <c r="F62" i="1"/>
  <c r="E63" i="1"/>
  <c r="F63" i="1"/>
  <c r="F64" i="1"/>
  <c r="F65" i="1"/>
  <c r="F66" i="1"/>
  <c r="F67" i="1"/>
  <c r="E68" i="1"/>
  <c r="F68" i="1"/>
  <c r="E69" i="1"/>
  <c r="F69" i="1"/>
  <c r="E70" i="1"/>
  <c r="F70" i="1"/>
  <c r="E71" i="1"/>
  <c r="F71" i="1"/>
  <c r="E72" i="1"/>
  <c r="F72" i="1"/>
  <c r="F73" i="1"/>
  <c r="E74" i="1"/>
  <c r="F74" i="1"/>
  <c r="F75" i="1"/>
  <c r="E76" i="1"/>
  <c r="F76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F88" i="1"/>
  <c r="E89" i="1"/>
  <c r="F89" i="1"/>
  <c r="E90" i="1"/>
  <c r="F90" i="1"/>
  <c r="F91" i="1"/>
  <c r="F92" i="1"/>
  <c r="E93" i="1"/>
  <c r="F93" i="1"/>
  <c r="F94" i="1"/>
  <c r="E95" i="1"/>
  <c r="F95" i="1"/>
  <c r="E96" i="1"/>
  <c r="F96" i="1"/>
  <c r="E97" i="1"/>
  <c r="F97" i="1"/>
  <c r="E98" i="1"/>
  <c r="F98" i="1"/>
  <c r="F99" i="1"/>
  <c r="E100" i="1"/>
  <c r="F100" i="1"/>
  <c r="F101" i="1"/>
  <c r="F102" i="1"/>
  <c r="F103" i="1"/>
  <c r="E104" i="1"/>
  <c r="F104" i="1"/>
  <c r="F105" i="1"/>
  <c r="E106" i="1"/>
  <c r="F106" i="1"/>
  <c r="E107" i="1"/>
  <c r="F107" i="1"/>
  <c r="F108" i="1"/>
  <c r="F109" i="1"/>
  <c r="E110" i="1"/>
  <c r="F110" i="1"/>
  <c r="F111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F120" i="1"/>
  <c r="E121" i="1"/>
  <c r="F121" i="1"/>
  <c r="E122" i="1"/>
  <c r="F122" i="1"/>
  <c r="E123" i="1"/>
  <c r="F123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F132" i="1"/>
  <c r="E133" i="1"/>
  <c r="F133" i="1"/>
  <c r="F134" i="1"/>
  <c r="F135" i="1"/>
  <c r="F136" i="1"/>
  <c r="F137" i="1"/>
  <c r="F138" i="1"/>
  <c r="F139" i="1"/>
  <c r="F140" i="1"/>
  <c r="E141" i="1"/>
  <c r="F141" i="1"/>
  <c r="F142" i="1"/>
  <c r="E143" i="1"/>
  <c r="F143" i="1"/>
  <c r="F144" i="1"/>
  <c r="E145" i="1"/>
  <c r="F145" i="1"/>
  <c r="F146" i="1"/>
  <c r="E147" i="1"/>
  <c r="F147" i="1"/>
  <c r="E148" i="1"/>
  <c r="F148" i="1"/>
  <c r="F149" i="1"/>
  <c r="E150" i="1"/>
  <c r="F150" i="1"/>
  <c r="E151" i="1"/>
  <c r="F151" i="1"/>
  <c r="F152" i="1"/>
  <c r="F153" i="1"/>
  <c r="F154" i="1"/>
  <c r="E155" i="1"/>
  <c r="F155" i="1"/>
  <c r="F156" i="1"/>
  <c r="F157" i="1"/>
  <c r="F158" i="1"/>
  <c r="F159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F178" i="1"/>
  <c r="F179" i="1"/>
  <c r="F180" i="1"/>
  <c r="F181" i="1"/>
  <c r="F182" i="1"/>
  <c r="F183" i="1"/>
  <c r="F184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F194" i="1"/>
  <c r="F195" i="1"/>
  <c r="F196" i="1"/>
  <c r="E197" i="1"/>
  <c r="F197" i="1"/>
  <c r="E198" i="1"/>
  <c r="F198" i="1"/>
  <c r="E199" i="1"/>
  <c r="F199" i="1"/>
  <c r="F200" i="1"/>
  <c r="E201" i="1"/>
  <c r="F201" i="1"/>
  <c r="F202" i="1"/>
  <c r="E203" i="1"/>
  <c r="F203" i="1"/>
  <c r="F204" i="1"/>
  <c r="F205" i="1"/>
  <c r="F206" i="1"/>
  <c r="E207" i="1"/>
  <c r="F207" i="1"/>
  <c r="F208" i="1"/>
  <c r="F209" i="1"/>
  <c r="F210" i="1"/>
  <c r="F211" i="1"/>
  <c r="F212" i="1"/>
  <c r="F213" i="1"/>
  <c r="F214" i="1"/>
  <c r="E215" i="1"/>
  <c r="F215" i="1"/>
  <c r="F216" i="1"/>
  <c r="F217" i="1"/>
  <c r="E218" i="1"/>
  <c r="F218" i="1"/>
  <c r="F219" i="1"/>
  <c r="E220" i="1"/>
  <c r="F220" i="1"/>
  <c r="E221" i="1"/>
  <c r="F221" i="1"/>
  <c r="E222" i="1"/>
  <c r="F222" i="1"/>
  <c r="F223" i="1"/>
  <c r="F224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F249" i="1"/>
  <c r="F250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F264" i="1"/>
  <c r="E265" i="1"/>
  <c r="F265" i="1"/>
  <c r="E266" i="1"/>
  <c r="F266" i="1"/>
  <c r="F267" i="1"/>
  <c r="E268" i="1"/>
  <c r="F268" i="1"/>
  <c r="E269" i="1"/>
  <c r="F269" i="1"/>
  <c r="F270" i="1"/>
  <c r="E271" i="1"/>
  <c r="F271" i="1"/>
  <c r="E272" i="1"/>
  <c r="F272" i="1"/>
  <c r="E273" i="1"/>
  <c r="F273" i="1"/>
  <c r="E274" i="1"/>
  <c r="F274" i="1"/>
  <c r="E275" i="1"/>
  <c r="F275" i="1"/>
  <c r="F276" i="1"/>
  <c r="F277" i="1"/>
  <c r="F278" i="1"/>
  <c r="F279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F293" i="1"/>
  <c r="E295" i="1"/>
  <c r="F295" i="1"/>
  <c r="E296" i="1"/>
  <c r="F296" i="1"/>
  <c r="E297" i="1"/>
  <c r="F297" i="1"/>
  <c r="F298" i="1"/>
  <c r="F299" i="1"/>
  <c r="E300" i="1"/>
  <c r="F300" i="1"/>
  <c r="E301" i="1"/>
  <c r="F301" i="1"/>
  <c r="E302" i="1"/>
  <c r="F302" i="1"/>
  <c r="E303" i="1"/>
  <c r="F303" i="1"/>
  <c r="F304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F324" i="1"/>
  <c r="E325" i="1"/>
  <c r="F325" i="1"/>
  <c r="F326" i="1"/>
  <c r="F327" i="1"/>
  <c r="F328" i="1"/>
  <c r="F329" i="1"/>
  <c r="E330" i="1"/>
  <c r="F330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F339" i="1"/>
  <c r="E340" i="1"/>
  <c r="F340" i="1"/>
  <c r="F341" i="1"/>
  <c r="F342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F364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E443" i="1"/>
  <c r="F443" i="1"/>
  <c r="F444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F484" i="1"/>
  <c r="E485" i="1"/>
  <c r="F485" i="1"/>
  <c r="E486" i="1"/>
  <c r="F486" i="1"/>
  <c r="E487" i="1"/>
  <c r="F487" i="1"/>
  <c r="E488" i="1"/>
  <c r="F488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F498" i="1"/>
  <c r="E499" i="1"/>
  <c r="F499" i="1"/>
  <c r="E500" i="1"/>
  <c r="F500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F533" i="1"/>
  <c r="F534" i="1"/>
  <c r="F535" i="1"/>
  <c r="F536" i="1"/>
  <c r="F537" i="1"/>
  <c r="F538" i="1"/>
  <c r="F539" i="1"/>
  <c r="F540" i="1"/>
  <c r="E541" i="1"/>
  <c r="F541" i="1"/>
  <c r="E542" i="1"/>
  <c r="F542" i="1"/>
  <c r="E543" i="1"/>
  <c r="F543" i="1"/>
  <c r="F544" i="1"/>
  <c r="E545" i="1"/>
  <c r="F545" i="1"/>
  <c r="E546" i="1"/>
  <c r="F546" i="1"/>
  <c r="E547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E559" i="1"/>
  <c r="F559" i="1"/>
  <c r="E560" i="1"/>
  <c r="F560" i="1"/>
  <c r="E561" i="1"/>
  <c r="F561" i="1"/>
  <c r="E562" i="1"/>
  <c r="F562" i="1"/>
  <c r="E563" i="1"/>
  <c r="F563" i="1"/>
  <c r="F564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F575" i="1"/>
  <c r="F576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F584" i="1"/>
  <c r="E585" i="1"/>
  <c r="F585" i="1"/>
  <c r="F586" i="1"/>
  <c r="E587" i="1"/>
  <c r="F587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F596" i="1"/>
  <c r="F597" i="1"/>
  <c r="F598" i="1"/>
  <c r="F599" i="1"/>
  <c r="F600" i="1"/>
  <c r="F601" i="1"/>
  <c r="F602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F613" i="1"/>
  <c r="E614" i="1"/>
  <c r="F614" i="1"/>
  <c r="F615" i="1"/>
  <c r="E616" i="1"/>
  <c r="F616" i="1"/>
  <c r="E617" i="1"/>
  <c r="E618" i="1"/>
  <c r="F618" i="1"/>
  <c r="F619" i="1"/>
  <c r="E620" i="1"/>
  <c r="F620" i="1"/>
  <c r="E621" i="1"/>
  <c r="F621" i="1"/>
  <c r="F622" i="1"/>
  <c r="E623" i="1"/>
  <c r="F623" i="1"/>
  <c r="E624" i="1"/>
  <c r="F624" i="1"/>
  <c r="F625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F645" i="1"/>
  <c r="E646" i="1"/>
  <c r="F646" i="1"/>
  <c r="F647" i="1"/>
  <c r="E648" i="1"/>
  <c r="F648" i="1"/>
  <c r="E649" i="1"/>
  <c r="F649" i="1"/>
  <c r="E650" i="1"/>
  <c r="F650" i="1"/>
  <c r="E651" i="1"/>
  <c r="F651" i="1"/>
  <c r="E652" i="1"/>
  <c r="F652" i="1"/>
  <c r="F653" i="1"/>
  <c r="F654" i="1"/>
  <c r="E655" i="1"/>
  <c r="F655" i="1"/>
  <c r="E656" i="1"/>
  <c r="F656" i="1"/>
  <c r="E657" i="1"/>
  <c r="F657" i="1"/>
  <c r="E658" i="1"/>
  <c r="F658" i="1"/>
  <c r="E659" i="1"/>
  <c r="F659" i="1"/>
  <c r="F660" i="1"/>
  <c r="F661" i="1"/>
  <c r="F662" i="1"/>
  <c r="F663" i="1"/>
  <c r="F664" i="1"/>
  <c r="F665" i="1"/>
  <c r="F666" i="1"/>
  <c r="E667" i="1"/>
  <c r="F667" i="1"/>
  <c r="E668" i="1"/>
  <c r="F668" i="1"/>
  <c r="F669" i="1"/>
  <c r="F670" i="1"/>
  <c r="F671" i="1"/>
</calcChain>
</file>

<file path=xl/sharedStrings.xml><?xml version="1.0" encoding="utf-8"?>
<sst xmlns="http://schemas.openxmlformats.org/spreadsheetml/2006/main" count="2939" uniqueCount="1284">
  <si>
    <t>整形外科、リハビリテーション科</t>
  </si>
  <si>
    <t>亘理郡亘理町字東郷１５５番地１</t>
  </si>
  <si>
    <t>さくら整形外科クリニック</t>
  </si>
  <si>
    <t>菅原　長弘</t>
  </si>
  <si>
    <t>難病指定医（専門医資格）</t>
  </si>
  <si>
    <t>眼科</t>
  </si>
  <si>
    <t>亘理郡亘理町字新町２４</t>
  </si>
  <si>
    <t>医療法人社団亘理浅野眼科医院</t>
  </si>
  <si>
    <t>浅野　俊一郎</t>
  </si>
  <si>
    <t>皮膚科</t>
  </si>
  <si>
    <t>亘理郡亘理町字狐塚２</t>
  </si>
  <si>
    <t>きくち皮フ科</t>
  </si>
  <si>
    <t>菊池　智</t>
  </si>
  <si>
    <t>みやぎ南部整形外科クリニック</t>
  </si>
  <si>
    <t>高橋　良正</t>
  </si>
  <si>
    <t>内科、消化器科、小児科、外科、糖尿病</t>
  </si>
  <si>
    <t>浅生原クリニック</t>
  </si>
  <si>
    <t>工藤　克昌</t>
  </si>
  <si>
    <t>内科、消化器内科</t>
  </si>
  <si>
    <t>亘理郡山元町坂元字道合３７</t>
  </si>
  <si>
    <t>松村クリニック</t>
  </si>
  <si>
    <t>松村　吉史</t>
  </si>
  <si>
    <t>脳神経内科</t>
  </si>
  <si>
    <t>亘理郡山元町高瀬字合戦原１００</t>
  </si>
  <si>
    <t>独立行政法人国立病院機構宮城病院</t>
  </si>
  <si>
    <t>割田　仁</t>
  </si>
  <si>
    <t>内科</t>
  </si>
  <si>
    <t>結城　翼</t>
  </si>
  <si>
    <t>脳神経外科</t>
  </si>
  <si>
    <t>仁村　太郎</t>
  </si>
  <si>
    <t>松本　有史</t>
  </si>
  <si>
    <t>安藤　肇史</t>
  </si>
  <si>
    <t>リハビリテーション科</t>
  </si>
  <si>
    <t>名取市美田園二丁目１番地の４</t>
  </si>
  <si>
    <t>宮城県リハビリテーション支援センター附属診療所</t>
  </si>
  <si>
    <t>宮内　名帆</t>
  </si>
  <si>
    <t>内科、人工透析内科</t>
  </si>
  <si>
    <t>名取透析クリニック</t>
  </si>
  <si>
    <t>村田　弥栄子</t>
  </si>
  <si>
    <t>脳神経外科、リハビリテーション科</t>
  </si>
  <si>
    <t>西嶋　一智</t>
  </si>
  <si>
    <t>内科、消化器科</t>
  </si>
  <si>
    <t>桑島内科消化器科クリニック</t>
  </si>
  <si>
    <t>桑島　一郎</t>
  </si>
  <si>
    <t>すずむら眼科</t>
  </si>
  <si>
    <t>鈴村　幸史</t>
  </si>
  <si>
    <t>心療内科、精神科</t>
  </si>
  <si>
    <t>名取たにぐちクリニック</t>
  </si>
  <si>
    <t>谷口　宏</t>
  </si>
  <si>
    <t>内科、消化器内科、内視鏡内科</t>
  </si>
  <si>
    <t>名取市田高字原５９７名取メディカルモール２０２</t>
  </si>
  <si>
    <t>なとり内科・内視鏡クリニック</t>
  </si>
  <si>
    <t>岩田　裕樹</t>
  </si>
  <si>
    <t>消化器内科</t>
  </si>
  <si>
    <t>名取市増田字柳田８</t>
  </si>
  <si>
    <t>名取中央クリニック</t>
  </si>
  <si>
    <t>洞口　淳</t>
  </si>
  <si>
    <t>野田眼科クリニック</t>
  </si>
  <si>
    <t>野田　邦雄</t>
  </si>
  <si>
    <t>内科、神経内科、消化器内科、循環器内科</t>
  </si>
  <si>
    <t>毛利内科</t>
  </si>
  <si>
    <t>毛利　虎一</t>
  </si>
  <si>
    <t>医療法人社団公成会　わく沢眼科医院</t>
  </si>
  <si>
    <t>涌澤　亮介</t>
  </si>
  <si>
    <t>内科、糖尿病内科</t>
  </si>
  <si>
    <t>名取とおる内科・糖尿病クリニック</t>
  </si>
  <si>
    <t>鈴木　亨</t>
  </si>
  <si>
    <t>さとうクリニック</t>
  </si>
  <si>
    <t>佐藤　倫紀</t>
  </si>
  <si>
    <t>名取市手倉田字諏訪５９９番地の１</t>
  </si>
  <si>
    <t>たんのクリニック</t>
  </si>
  <si>
    <t>丹野　尚昭</t>
  </si>
  <si>
    <t>内科、精神科</t>
  </si>
  <si>
    <t>名取熊野堂病院</t>
  </si>
  <si>
    <t>佐藤　琢磨</t>
  </si>
  <si>
    <t>耳鼻いんこう科</t>
  </si>
  <si>
    <t>名取市高舘吉田字前沖２１１番地４</t>
  </si>
  <si>
    <t>かくだ西川耳鼻咽喉科クリニック</t>
  </si>
  <si>
    <t>西川　仁</t>
  </si>
  <si>
    <t>内科、循環器内科</t>
  </si>
  <si>
    <t>森内科クリニック</t>
  </si>
  <si>
    <t>西澤　健吾</t>
  </si>
  <si>
    <t>呼吸器内科</t>
  </si>
  <si>
    <t>宮城県立がんセンター</t>
  </si>
  <si>
    <t>鶴見　恭士</t>
  </si>
  <si>
    <t>髙橋　幸大</t>
  </si>
  <si>
    <t>血液内科</t>
  </si>
  <si>
    <t>斎藤　陽</t>
  </si>
  <si>
    <t>呼吸器外科</t>
  </si>
  <si>
    <t>熊田　早希子</t>
  </si>
  <si>
    <t>頭頸部外科</t>
  </si>
  <si>
    <t>中目　亜矢子</t>
  </si>
  <si>
    <t>日下　順</t>
  </si>
  <si>
    <t>臨床検査科</t>
  </si>
  <si>
    <t>遠宮　靖雄</t>
  </si>
  <si>
    <t>内海　潔</t>
  </si>
  <si>
    <t>虻江　誠</t>
  </si>
  <si>
    <t>整形外科</t>
  </si>
  <si>
    <t>鈴木　一史</t>
  </si>
  <si>
    <t>阿部　二郎</t>
  </si>
  <si>
    <t>鈴木　綾</t>
  </si>
  <si>
    <t>渡邉　香奈</t>
  </si>
  <si>
    <t>福原　達朗</t>
  </si>
  <si>
    <t>鈴木　眞一</t>
  </si>
  <si>
    <t>内科、消化器科、小児科、外科</t>
  </si>
  <si>
    <t>あいのもりクリニック</t>
  </si>
  <si>
    <t>千田　元</t>
  </si>
  <si>
    <t>内科、心臓血管外科、循環器内科</t>
  </si>
  <si>
    <t>みどり台ヒルズクリニック</t>
  </si>
  <si>
    <t>山谷　一広</t>
  </si>
  <si>
    <t>本吉郡南三陸町志津川字沼田１４番地３</t>
  </si>
  <si>
    <t>南三陸病院</t>
  </si>
  <si>
    <t>西澤　匡史</t>
  </si>
  <si>
    <t>本吉郡南三陸町志津川字沼田14番地3</t>
  </si>
  <si>
    <t>髙田　秀司</t>
  </si>
  <si>
    <t>外科</t>
  </si>
  <si>
    <t>初貝　和明</t>
  </si>
  <si>
    <t>内科、小児科、腎臓内科</t>
  </si>
  <si>
    <t>うたつファミリークリニック</t>
  </si>
  <si>
    <t>関　由美加</t>
  </si>
  <si>
    <t>小児科</t>
  </si>
  <si>
    <t>富谷市明石台七丁目１番５</t>
  </si>
  <si>
    <t>医療法人恵尚会　Town Clinic en</t>
  </si>
  <si>
    <t>鎌田　文顕</t>
  </si>
  <si>
    <t>明石台のあメンタルクリニック</t>
  </si>
  <si>
    <t>山下 幸記</t>
  </si>
  <si>
    <t>明石台内科循環器科医院</t>
  </si>
  <si>
    <t>翁長　春貴</t>
  </si>
  <si>
    <t>内科、アレルギー科</t>
  </si>
  <si>
    <t>富谷市富ケ丘２丁目１１番４４号</t>
  </si>
  <si>
    <t>富ケ丘内科・アレルギー科</t>
  </si>
  <si>
    <t>鳴海　創大</t>
  </si>
  <si>
    <t>皮膚科、小児皮膚科</t>
  </si>
  <si>
    <t>くまのみ皮ふ科クリニック</t>
  </si>
  <si>
    <t>浅井　大志</t>
  </si>
  <si>
    <t xml:space="preserve">              </t>
  </si>
  <si>
    <t>富谷あさの良視眼科</t>
  </si>
  <si>
    <t>浅野　良視</t>
  </si>
  <si>
    <t>内科、胃腸内科、消化器内科、代謝内科、糖尿病内科</t>
  </si>
  <si>
    <t>たいとみ胃腸内科医院</t>
  </si>
  <si>
    <t>梅村　賢</t>
  </si>
  <si>
    <t>富谷市成田二丁目１番地の３</t>
  </si>
  <si>
    <t>中谷クリニック</t>
  </si>
  <si>
    <t>中谷　俊彦</t>
  </si>
  <si>
    <t>仙台リハビリテーション病院</t>
  </si>
  <si>
    <t>松本　乾児</t>
  </si>
  <si>
    <t>富谷市上桜木二丁目1番地6</t>
  </si>
  <si>
    <t>医療法人盟陽会　富谷中央病院</t>
  </si>
  <si>
    <t>菅原　理恵</t>
  </si>
  <si>
    <t>内科、神経内科、外科、脳神経外科</t>
  </si>
  <si>
    <t>上桜木しんがい脳神経外科</t>
  </si>
  <si>
    <t>新海　準二</t>
  </si>
  <si>
    <t>富谷中央病院</t>
  </si>
  <si>
    <t>佐々木　賢二</t>
  </si>
  <si>
    <t>妹尾　重晴</t>
  </si>
  <si>
    <t>加藤　保信</t>
  </si>
  <si>
    <t>工藤　啓</t>
  </si>
  <si>
    <t>鈴木　敬</t>
  </si>
  <si>
    <t>医療法人社団益和会　富谷医院</t>
  </si>
  <si>
    <t>齋藤　陽孝</t>
  </si>
  <si>
    <t>内科、小児科</t>
  </si>
  <si>
    <t>齋藤　千恵</t>
  </si>
  <si>
    <t>林　哲明</t>
  </si>
  <si>
    <t>白石市福岡蔵本字下原沖３６番地</t>
  </si>
  <si>
    <t>公立刈田綜合病院</t>
  </si>
  <si>
    <t>松田　直</t>
  </si>
  <si>
    <t>尾股　慧</t>
  </si>
  <si>
    <t>小川　真司</t>
  </si>
  <si>
    <t>遠藤　寬興</t>
  </si>
  <si>
    <t>神経内科</t>
  </si>
  <si>
    <t>望月　廣</t>
  </si>
  <si>
    <t>耳鼻咽喉科</t>
  </si>
  <si>
    <t>白石市福岡蔵本字下原沖36番地</t>
  </si>
  <si>
    <t>柳川　明弘</t>
  </si>
  <si>
    <t>白石市福岡蔵本字下原沖３６</t>
  </si>
  <si>
    <t>工藤　和浩</t>
  </si>
  <si>
    <t>渡辺　正</t>
  </si>
  <si>
    <t>大泉記念病院</t>
  </si>
  <si>
    <t>網倉　克己</t>
  </si>
  <si>
    <t>八巻　孝史</t>
  </si>
  <si>
    <t>循環器内科</t>
  </si>
  <si>
    <t>小岩　喜郎</t>
  </si>
  <si>
    <t>外科、脳神経外科</t>
  </si>
  <si>
    <t>松本　純</t>
  </si>
  <si>
    <t>神田　暁郎</t>
  </si>
  <si>
    <t>医療法人　梅津内科医院</t>
  </si>
  <si>
    <t>梅津　輝行</t>
  </si>
  <si>
    <t>柿崎小児科</t>
  </si>
  <si>
    <t>柿崎　周平</t>
  </si>
  <si>
    <t>白石市字清水小路６番地３</t>
  </si>
  <si>
    <t>つつみ内科外科こどもクリニック</t>
  </si>
  <si>
    <t>堤　和泉</t>
  </si>
  <si>
    <t>橋本整形外科医院</t>
  </si>
  <si>
    <t>橋本　昌美</t>
  </si>
  <si>
    <t>東松島市矢本字大溜343番地</t>
  </si>
  <si>
    <t>やもと眼科</t>
  </si>
  <si>
    <t>劉　孟林</t>
  </si>
  <si>
    <t>ひかりサンテクリニック</t>
  </si>
  <si>
    <t>加藤　洋子</t>
  </si>
  <si>
    <t>東松島市矢本字鹿石前109番地4</t>
  </si>
  <si>
    <t>医療法人医徳会　真壁病院</t>
  </si>
  <si>
    <t>佐藤　博宣</t>
  </si>
  <si>
    <t>内科、脳神経外科</t>
  </si>
  <si>
    <t>小林　紳一</t>
  </si>
  <si>
    <t>内科、外科、心臓血管外科、循環器内科、人工透析内科</t>
  </si>
  <si>
    <t>菊池　積徳</t>
  </si>
  <si>
    <t>内科、外科、整形外科</t>
  </si>
  <si>
    <t>真壁病院</t>
  </si>
  <si>
    <t>真壁　秀幸</t>
  </si>
  <si>
    <t>眞壁　健二</t>
  </si>
  <si>
    <t>内科、泌尿器科、人工透析内科</t>
  </si>
  <si>
    <t>大内　淳</t>
  </si>
  <si>
    <t>宮本　慶一</t>
  </si>
  <si>
    <t>内科、胃腸科</t>
  </si>
  <si>
    <t>東松島市赤井字鷲塚　６９ー８</t>
  </si>
  <si>
    <t>伊東胃腸科内科</t>
  </si>
  <si>
    <t>原田喜博</t>
  </si>
  <si>
    <t>東松島市赤井字南一２５３</t>
  </si>
  <si>
    <t>医療法人　わたなべ整形外科</t>
  </si>
  <si>
    <t>渡辺　克司</t>
  </si>
  <si>
    <t>内科、消化器科、アレルギー科、リウマチ科、小児科、血液内科</t>
  </si>
  <si>
    <t>東松島市赤井字南一２２３</t>
  </si>
  <si>
    <t>ししど内科クリニック</t>
  </si>
  <si>
    <t>宍戸　友明</t>
  </si>
  <si>
    <t>医療法人社団仙石病院</t>
  </si>
  <si>
    <t>宗久　雅人</t>
  </si>
  <si>
    <t>小川　欣一</t>
  </si>
  <si>
    <t>泌尿器科</t>
  </si>
  <si>
    <t>新宅　一郎</t>
  </si>
  <si>
    <t>加藤　秀明</t>
  </si>
  <si>
    <t>新妻　博</t>
  </si>
  <si>
    <t>神山クリニック</t>
  </si>
  <si>
    <t>神山　佳展</t>
  </si>
  <si>
    <t>登米市立豊里病院</t>
  </si>
  <si>
    <t>佐藤　麻理</t>
  </si>
  <si>
    <t>佐藤医院</t>
  </si>
  <si>
    <t>佐藤　衛</t>
  </si>
  <si>
    <t>菅原内科クリニック</t>
  </si>
  <si>
    <t>菅原　亜紀子</t>
  </si>
  <si>
    <t>登米市迫町佐沼字南元丁７２</t>
  </si>
  <si>
    <t>医療法人社団やまと　やまと在宅診療所登米</t>
  </si>
  <si>
    <t>佐藤　光</t>
  </si>
  <si>
    <t>総合診療科</t>
  </si>
  <si>
    <t>早坂　研</t>
  </si>
  <si>
    <t>わたなべ内科クリニック</t>
  </si>
  <si>
    <t>渡邊　誠悦</t>
  </si>
  <si>
    <t>ごとう眼科</t>
  </si>
  <si>
    <t>後藤　寿裕</t>
  </si>
  <si>
    <t>後藤　彰子</t>
  </si>
  <si>
    <t>ささはら総合診療科</t>
  </si>
  <si>
    <t>笹原　政美</t>
  </si>
  <si>
    <t>さぬま中央クリニック</t>
  </si>
  <si>
    <t>下村　明</t>
  </si>
  <si>
    <t>登米市迫町佐沼字下田中２５番地</t>
  </si>
  <si>
    <t>登米市立登米市民病院</t>
  </si>
  <si>
    <t>中川　智彦</t>
  </si>
  <si>
    <t>登米市迫町佐沼字下田中２５</t>
  </si>
  <si>
    <t>髙橋　賢治</t>
  </si>
  <si>
    <t>松澤　岳</t>
  </si>
  <si>
    <t>泌尿器科、血液透析科</t>
  </si>
  <si>
    <t>中島　志織</t>
  </si>
  <si>
    <t>三上　哲彦</t>
  </si>
  <si>
    <t>高橋　雄大</t>
  </si>
  <si>
    <t>馬目　英明</t>
  </si>
  <si>
    <t>大井　英毅</t>
  </si>
  <si>
    <t>松本　宏</t>
  </si>
  <si>
    <t>登米市東和町米谷字元町200番地</t>
  </si>
  <si>
    <t>登米市立米谷病院</t>
  </si>
  <si>
    <t>関井　威彦</t>
  </si>
  <si>
    <t>登米市東和町米谷字元町２００</t>
  </si>
  <si>
    <t>永谷　正一</t>
  </si>
  <si>
    <t>小出医院</t>
  </si>
  <si>
    <t>小出　佳代子</t>
  </si>
  <si>
    <t>内科.循環器科.呼吸器科</t>
  </si>
  <si>
    <t>医療法人　健心会　おおた　おおたに　クリニック</t>
  </si>
  <si>
    <t>大谷　宏紀</t>
  </si>
  <si>
    <t>太田　潤</t>
  </si>
  <si>
    <t>大崎市田尻北牧目字新堀　４６ー８</t>
  </si>
  <si>
    <t>天野内科クリニック</t>
  </si>
  <si>
    <t>天野　良彦</t>
  </si>
  <si>
    <t>内科、リハビリテーション科</t>
  </si>
  <si>
    <t>大崎クリニック</t>
  </si>
  <si>
    <t>松本　啓成</t>
  </si>
  <si>
    <t>神経内科、脳神経外科、リハビリテーション科</t>
  </si>
  <si>
    <t>すずき脳神経外科クリニック</t>
  </si>
  <si>
    <t>鈴木　豪</t>
  </si>
  <si>
    <t>古川きたまち内科クリニック</t>
  </si>
  <si>
    <t>須知　太郎</t>
  </si>
  <si>
    <t>血管外科</t>
  </si>
  <si>
    <t>大崎市古川穂波三丁目８番１号</t>
  </si>
  <si>
    <t>大崎市民病院</t>
  </si>
  <si>
    <t>土田　憲</t>
  </si>
  <si>
    <t>大崎市古川穂波３丁目８番１号</t>
  </si>
  <si>
    <t>三井　英俊</t>
  </si>
  <si>
    <t>リウマチ科</t>
  </si>
  <si>
    <t>武藤　智之</t>
  </si>
  <si>
    <t>一ノ瀬　正和</t>
  </si>
  <si>
    <t>北西　龍太</t>
  </si>
  <si>
    <t>肝臓内科</t>
  </si>
  <si>
    <t>五十嵐　勇彦</t>
  </si>
  <si>
    <t>佐々木　高綱</t>
  </si>
  <si>
    <t>吉田　昌弘</t>
  </si>
  <si>
    <t>鈴木　健大</t>
  </si>
  <si>
    <t>糖尿病代謝・内分泌内科</t>
  </si>
  <si>
    <t>萱場　瑶子</t>
  </si>
  <si>
    <t>田中　悠也</t>
  </si>
  <si>
    <t>佐々木　滉</t>
  </si>
  <si>
    <t>渡来　剛右</t>
  </si>
  <si>
    <t>腎臓・内分泌内科</t>
  </si>
  <si>
    <t>近松　陽一郎</t>
  </si>
  <si>
    <t>佐藤　慶</t>
  </si>
  <si>
    <t>髙橋　秀典</t>
  </si>
  <si>
    <t>齋藤　秀憲</t>
  </si>
  <si>
    <t>糖尿病代謝科、内分泌内科</t>
  </si>
  <si>
    <t>山本　淳平</t>
  </si>
  <si>
    <t>髙橋　太郎</t>
  </si>
  <si>
    <t>小野寺　基之</t>
  </si>
  <si>
    <t>工藤　正孝</t>
  </si>
  <si>
    <t>黒澤　和大</t>
  </si>
  <si>
    <t>関口　玲</t>
  </si>
  <si>
    <t>渡邉　幸二郎</t>
  </si>
  <si>
    <t>池田　義弘</t>
  </si>
  <si>
    <t>岩渕　薫</t>
  </si>
  <si>
    <t>糖尿病・代謝内科</t>
  </si>
  <si>
    <t>薄井　正寛</t>
  </si>
  <si>
    <t>井草　龍太郎</t>
  </si>
  <si>
    <t>竹下　孝之</t>
  </si>
  <si>
    <t>圓谷　隆治</t>
  </si>
  <si>
    <t>佐藤　雄一郎</t>
  </si>
  <si>
    <t>大津　進</t>
  </si>
  <si>
    <t>今泉　秀樹</t>
  </si>
  <si>
    <t>小ヶ口　恭介</t>
  </si>
  <si>
    <t>杉浦　章</t>
  </si>
  <si>
    <t>婦人科</t>
  </si>
  <si>
    <t>松本　大樹</t>
  </si>
  <si>
    <t>島田　和佳</t>
  </si>
  <si>
    <t>伊藤　博敬</t>
  </si>
  <si>
    <t>形成外科</t>
  </si>
  <si>
    <t>清野　広人</t>
  </si>
  <si>
    <t>大崎市古川穂波3ー8ー1</t>
  </si>
  <si>
    <t>境　吉孝</t>
  </si>
  <si>
    <t>古川星陵病院</t>
  </si>
  <si>
    <t>高橋　康</t>
  </si>
  <si>
    <t>城倉　英史</t>
  </si>
  <si>
    <t>大崎市古川中里二丁目2番25号</t>
  </si>
  <si>
    <t>髙橋医院</t>
  </si>
  <si>
    <t>髙橋　望</t>
  </si>
  <si>
    <t>尾花内科クリニック</t>
  </si>
  <si>
    <t>尾花　伸哉</t>
  </si>
  <si>
    <t>まつうら内科小児科クリニック</t>
  </si>
  <si>
    <t>松浦　良樹</t>
  </si>
  <si>
    <t>内科、アレルギー科、小児科、胃腸内科</t>
  </si>
  <si>
    <t>松浦　真樹</t>
  </si>
  <si>
    <t>医療法人社団　古川中央眼科</t>
  </si>
  <si>
    <t>菊地　玄</t>
  </si>
  <si>
    <t>工藤　仁</t>
  </si>
  <si>
    <t>工藤　砂織</t>
  </si>
  <si>
    <t>精神科</t>
  </si>
  <si>
    <t>こころのホスピタル・古川グリーンヒルズ</t>
  </si>
  <si>
    <t>青嶋　利明</t>
  </si>
  <si>
    <t>佐々木医院</t>
  </si>
  <si>
    <t>佐々木　惇</t>
  </si>
  <si>
    <t>大崎市古川新田字川原前２９７番地</t>
  </si>
  <si>
    <t>医療法人泉整形外科病院　大崎西整形外科</t>
  </si>
  <si>
    <t>佐藤　哲也</t>
  </si>
  <si>
    <t>内科、外科</t>
  </si>
  <si>
    <t>医療法人社団慈篤会　三浦病院</t>
  </si>
  <si>
    <t>井上　国彦</t>
  </si>
  <si>
    <t>医療法人　星眼科医院</t>
  </si>
  <si>
    <t>星　秀二</t>
  </si>
  <si>
    <t>古川駅南眼科クリニック</t>
  </si>
  <si>
    <t>一迫　弘平</t>
  </si>
  <si>
    <t>古川駅南耳鼻咽喉科</t>
  </si>
  <si>
    <t>佐竹　順一</t>
  </si>
  <si>
    <t>大崎市古川浦町　１ー３７</t>
  </si>
  <si>
    <t>一般財団法人片倉病院</t>
  </si>
  <si>
    <t>片倉　康喜</t>
  </si>
  <si>
    <t>消化器科、胃腸科、泌尿器科</t>
  </si>
  <si>
    <t>医療法人永仁会　永仁会病院</t>
  </si>
  <si>
    <t>宮下　英士</t>
  </si>
  <si>
    <t>消化器科、胃腸科</t>
  </si>
  <si>
    <t>菅野　伸一</t>
  </si>
  <si>
    <t>宮下　祐介</t>
  </si>
  <si>
    <t>腎臓内科</t>
  </si>
  <si>
    <t>松永　智仁</t>
  </si>
  <si>
    <t>鈴木　祥郎</t>
  </si>
  <si>
    <t>布施　香</t>
  </si>
  <si>
    <t>皮膚科、泌尿器科</t>
  </si>
  <si>
    <t>大井皮膚科泌尿器科医院</t>
  </si>
  <si>
    <t>大井　知教</t>
  </si>
  <si>
    <t>呼吸器科、消化器科、循環器科</t>
  </si>
  <si>
    <t>さざんか往診クリニック</t>
  </si>
  <si>
    <t>石垣　五月</t>
  </si>
  <si>
    <t>おだかクリニック</t>
  </si>
  <si>
    <t>小鷹　悠二</t>
  </si>
  <si>
    <t>小鷹　日出夫</t>
  </si>
  <si>
    <t>藤野整形外科</t>
  </si>
  <si>
    <t>藤野　茂</t>
  </si>
  <si>
    <t>多賀城腎・泌尿器クリニック</t>
  </si>
  <si>
    <t>松下　真史</t>
  </si>
  <si>
    <t>内科、脳神経内科</t>
  </si>
  <si>
    <t>仙塩総合病院</t>
  </si>
  <si>
    <t>大平　泰子</t>
  </si>
  <si>
    <t>リウマチ科、整形外科</t>
  </si>
  <si>
    <t>多賀城市高橋４ー２０ー５</t>
  </si>
  <si>
    <t>コツコツクリニック多賀城整形外科</t>
  </si>
  <si>
    <t>田中　庸二</t>
  </si>
  <si>
    <t>よねち内科クリニック</t>
  </si>
  <si>
    <t>米地　真</t>
  </si>
  <si>
    <t>内科、外科、皮膚科、泌尿器科</t>
  </si>
  <si>
    <t>多賀城あかざクリニック</t>
  </si>
  <si>
    <t>黒本　暁人</t>
  </si>
  <si>
    <t>整形外科、理学診療科</t>
  </si>
  <si>
    <t>さとう整形外科クリニック</t>
  </si>
  <si>
    <t>佐藤　正光</t>
  </si>
  <si>
    <t>佐藤　研</t>
  </si>
  <si>
    <t>内科、小児科、皮膚科</t>
  </si>
  <si>
    <t>おおしろファミリークリニック</t>
  </si>
  <si>
    <t>音羽　孝則</t>
  </si>
  <si>
    <t>しおがま国分眼科</t>
  </si>
  <si>
    <t>國分　太貴</t>
  </si>
  <si>
    <t>公益財団法人宮城厚生協会坂総合クリニック</t>
  </si>
  <si>
    <t>阿南　陽二</t>
  </si>
  <si>
    <t>リハビリテーション科、在宅科</t>
  </si>
  <si>
    <t>公益財団法人　宮城厚生協会　坂総合クリニック</t>
  </si>
  <si>
    <t>佐藤　美希</t>
  </si>
  <si>
    <t>呼吸器科</t>
  </si>
  <si>
    <t>髙橋　洋</t>
  </si>
  <si>
    <t>今田　隆一</t>
  </si>
  <si>
    <t>松田　好郎</t>
  </si>
  <si>
    <t>アレルギー科、形成外科、皮膚科、美容皮膚科</t>
  </si>
  <si>
    <t>仙台市泉区八乙女中央１丁目６番４５号産電八乙女中央ビル１階</t>
  </si>
  <si>
    <t>八乙女スキンクリニック</t>
  </si>
  <si>
    <t>遠野　久幸</t>
  </si>
  <si>
    <t>東北医科薬科大学病院</t>
  </si>
  <si>
    <t>諸角　謙人</t>
  </si>
  <si>
    <t>医療法人社団　六郷耳鼻咽喉科</t>
  </si>
  <si>
    <t>六郷　正暁</t>
  </si>
  <si>
    <t>内科、消化器科、胃腸科</t>
  </si>
  <si>
    <t>かわらだ内科・胃大腸クリニック</t>
  </si>
  <si>
    <t>川原田　博章</t>
  </si>
  <si>
    <t>亀田内科皮膚科クリニック</t>
  </si>
  <si>
    <t>亀田　利栄子</t>
  </si>
  <si>
    <t>医療法人社団健育会石巻健育会病院</t>
  </si>
  <si>
    <t>佐々木　盛力</t>
  </si>
  <si>
    <t>医療法人健育会 石巻健育会病院</t>
  </si>
  <si>
    <t>永野　功</t>
  </si>
  <si>
    <t>内科、神経内科、神経内科</t>
  </si>
  <si>
    <t>医療法人健育会石巻健育会病院</t>
  </si>
  <si>
    <t>佐藤　景</t>
  </si>
  <si>
    <t>太田　耕造</t>
  </si>
  <si>
    <t>医療法人天悠会　大街道もり眼科医院</t>
  </si>
  <si>
    <t>森　悠大</t>
  </si>
  <si>
    <t>胃腸科、消化器内科</t>
  </si>
  <si>
    <t>森消化器内科外科</t>
  </si>
  <si>
    <t>森　芳正</t>
  </si>
  <si>
    <t>土井眼科クリニック</t>
  </si>
  <si>
    <t>土井　洋</t>
  </si>
  <si>
    <t>池田整形外科医院</t>
  </si>
  <si>
    <t>池田　理一郎</t>
  </si>
  <si>
    <t>石巻市蛇田西道下７１１</t>
  </si>
  <si>
    <t>石巻赤十字病院</t>
  </si>
  <si>
    <t>奥友　洸二</t>
  </si>
  <si>
    <t>石巻市蛇田西道下71</t>
  </si>
  <si>
    <t>天貝　諒</t>
  </si>
  <si>
    <t>内科、呼吸器内科</t>
  </si>
  <si>
    <t>医療法人　こばやし医院</t>
  </si>
  <si>
    <t>小林　隆夫</t>
  </si>
  <si>
    <t>石巻市蛇田字西道下７１番地</t>
  </si>
  <si>
    <t>小貫　真純</t>
  </si>
  <si>
    <t>石巻市蛇田字西道下71番地</t>
  </si>
  <si>
    <t>石井　智彦</t>
  </si>
  <si>
    <t>安倍　美加</t>
  </si>
  <si>
    <t>山中　多聞</t>
  </si>
  <si>
    <t>及川　崇紀</t>
  </si>
  <si>
    <t>深瀬　耕二</t>
  </si>
  <si>
    <t>天羽　健一</t>
  </si>
  <si>
    <t>石巻市蛇田字西道下７１</t>
  </si>
  <si>
    <t>豊島　拓</t>
  </si>
  <si>
    <t>宇根岡　慧</t>
  </si>
  <si>
    <t>黒木　茂</t>
  </si>
  <si>
    <t>産婦人科</t>
  </si>
  <si>
    <t>田中　創太</t>
  </si>
  <si>
    <t>石巻市蛇田字西道下71</t>
  </si>
  <si>
    <t>鈴木　大</t>
  </si>
  <si>
    <t>森田　真吉</t>
  </si>
  <si>
    <t>逸見　朋隆</t>
  </si>
  <si>
    <t>小泉　祥太郎</t>
  </si>
  <si>
    <t>病理部</t>
  </si>
  <si>
    <t>三浦　豪</t>
  </si>
  <si>
    <t>加納　伸介</t>
  </si>
  <si>
    <t>東海林　正邦</t>
  </si>
  <si>
    <t>熊谷　遊</t>
  </si>
  <si>
    <t>遺伝診療センター</t>
  </si>
  <si>
    <t>湊川　真理</t>
  </si>
  <si>
    <t>小児外科</t>
  </si>
  <si>
    <t>工藤　博典</t>
  </si>
  <si>
    <t>黒澤　靖大</t>
  </si>
  <si>
    <t>山陰　周</t>
  </si>
  <si>
    <t>佐渡　哲</t>
  </si>
  <si>
    <t>石田　雅嗣</t>
  </si>
  <si>
    <t>中嶌　真治</t>
  </si>
  <si>
    <t>小野　学</t>
  </si>
  <si>
    <t>舘田　聡</t>
  </si>
  <si>
    <t>大橋　圭一</t>
  </si>
  <si>
    <t>佐藤　ひかり</t>
  </si>
  <si>
    <t>前嶋　隆平</t>
  </si>
  <si>
    <t>小林　誠一</t>
  </si>
  <si>
    <t>高川　真徳</t>
  </si>
  <si>
    <t>石川　修一</t>
  </si>
  <si>
    <t>海野　純</t>
  </si>
  <si>
    <t>赤羽　武弘</t>
  </si>
  <si>
    <t>大原　勝人</t>
  </si>
  <si>
    <t>花釜　正和</t>
  </si>
  <si>
    <t>植田　信策</t>
  </si>
  <si>
    <t>心臓血管外科</t>
  </si>
  <si>
    <t>篠崎　滋</t>
  </si>
  <si>
    <t>乳腺外科</t>
  </si>
  <si>
    <t>佐藤　馨</t>
  </si>
  <si>
    <t>渡邉　亮</t>
  </si>
  <si>
    <t>救急科</t>
  </si>
  <si>
    <t>小林　道生</t>
  </si>
  <si>
    <t>富永　現</t>
  </si>
  <si>
    <t>市川　宏文</t>
  </si>
  <si>
    <t>伊藤　健</t>
  </si>
  <si>
    <t>あらい脳神経外科クリニック</t>
  </si>
  <si>
    <t>荒井　啓史</t>
  </si>
  <si>
    <t>蛇田さくら内科クリニック</t>
  </si>
  <si>
    <t>大坂　美和子</t>
  </si>
  <si>
    <t>医療法人社団仁明会　介護老人保健施設　恵仁ホーム</t>
  </si>
  <si>
    <t>加藤　宏之</t>
  </si>
  <si>
    <t>医療法人社団仁明会　齋藤病院</t>
  </si>
  <si>
    <t>尾形　公彦</t>
  </si>
  <si>
    <t>内科、神経内科</t>
  </si>
  <si>
    <t>渡辺　弘一</t>
  </si>
  <si>
    <t>古関　義人</t>
  </si>
  <si>
    <t>須賀　俊博</t>
  </si>
  <si>
    <t>桧野　正俊</t>
  </si>
  <si>
    <t>石巻市穀町15番1号</t>
  </si>
  <si>
    <t>石巻市立病院</t>
  </si>
  <si>
    <t>藤川　祐子</t>
  </si>
  <si>
    <t>飛澤　笑山</t>
  </si>
  <si>
    <t>千葉　仁志</t>
  </si>
  <si>
    <t>大森　康司</t>
  </si>
  <si>
    <t>赤井　健次郎</t>
  </si>
  <si>
    <t>椎葉　健一</t>
  </si>
  <si>
    <t>石巻市広渕字長山１００番地</t>
  </si>
  <si>
    <t>医療法人海邦会　鹿島記念病院</t>
  </si>
  <si>
    <t>木村　勤</t>
  </si>
  <si>
    <t>内科、呼吸器科</t>
  </si>
  <si>
    <t>石巻市広渕字焼巻２番地</t>
  </si>
  <si>
    <t>医療法人　啓仁会　石巻ロイヤル病院</t>
  </si>
  <si>
    <t>中山　曻一</t>
  </si>
  <si>
    <t>石巻市広渕字焼巻２</t>
  </si>
  <si>
    <t>医療法人啓仁会石巻ロイヤル病院</t>
  </si>
  <si>
    <t>桜井　健介</t>
  </si>
  <si>
    <t>平野　仁崇</t>
  </si>
  <si>
    <t>佐藤　貫洋</t>
  </si>
  <si>
    <t>医療法人社団箕田内科クリニック</t>
  </si>
  <si>
    <t>箕田　紳一郎</t>
  </si>
  <si>
    <t>なかがわ眼科</t>
  </si>
  <si>
    <t>中川　陽一</t>
  </si>
  <si>
    <t>医療法人宏人会石巻クリニック</t>
  </si>
  <si>
    <t>金澤　雅之</t>
  </si>
  <si>
    <t>ます皮膚科医院</t>
  </si>
  <si>
    <t>舛　明子</t>
  </si>
  <si>
    <t>舛　貴志</t>
  </si>
  <si>
    <t>舛　眞一</t>
  </si>
  <si>
    <t>かわち医院</t>
  </si>
  <si>
    <t>小林　実</t>
  </si>
  <si>
    <t>内科、泌尿器科</t>
  </si>
  <si>
    <t>医療法人　庄司クリニック</t>
  </si>
  <si>
    <t>庄司　則文</t>
  </si>
  <si>
    <t>みやぎ県南中核病院</t>
  </si>
  <si>
    <t>宮地　智洋</t>
  </si>
  <si>
    <t>工藤　貴之</t>
  </si>
  <si>
    <t>水戸眼科医院</t>
  </si>
  <si>
    <t>水戸　武三</t>
  </si>
  <si>
    <t>一般内科、循環器内科</t>
  </si>
  <si>
    <t>医療法人いとうハートクリニック</t>
  </si>
  <si>
    <t>伊藤　愛剛</t>
  </si>
  <si>
    <t>柴田郡大河原町字西３８番地１</t>
  </si>
  <si>
    <t>平本　圭一郎</t>
  </si>
  <si>
    <t>木村　修</t>
  </si>
  <si>
    <t>王　紀英</t>
  </si>
  <si>
    <t>藤坂　泰之</t>
  </si>
  <si>
    <t>田中　修平</t>
  </si>
  <si>
    <t>伊勢福　修司</t>
  </si>
  <si>
    <t>上埜　楓美子</t>
  </si>
  <si>
    <t>佐藤　輝幸</t>
  </si>
  <si>
    <t>櫻田　晃</t>
  </si>
  <si>
    <t>綿貫　善太</t>
  </si>
  <si>
    <t>腎臓内科、膠原病科</t>
  </si>
  <si>
    <t>佐藤　仁</t>
  </si>
  <si>
    <t>東條　裕</t>
  </si>
  <si>
    <t>村山　直樹</t>
  </si>
  <si>
    <t>加藤　量広</t>
  </si>
  <si>
    <t>近藤　敬一</t>
  </si>
  <si>
    <t>上野　達也</t>
  </si>
  <si>
    <t>富岡　智子</t>
  </si>
  <si>
    <t>塩入　裕樹</t>
  </si>
  <si>
    <t>腎臓内科、膠原病内科</t>
  </si>
  <si>
    <t>坂田　英恵</t>
  </si>
  <si>
    <t>和泉　卓司</t>
  </si>
  <si>
    <t>大友　智</t>
  </si>
  <si>
    <t>村田透析クリニック</t>
  </si>
  <si>
    <t>米田　実</t>
  </si>
  <si>
    <t>柴田郡村田町村田字西４６</t>
  </si>
  <si>
    <t>善積医院</t>
  </si>
  <si>
    <t>善積　祐介</t>
  </si>
  <si>
    <t>柴田郡川崎町大字前川字北原２３ー１</t>
  </si>
  <si>
    <t>国民健康保険川崎病院</t>
  </si>
  <si>
    <t>岡田　信司</t>
  </si>
  <si>
    <t>心療内科、精神科、リハビリテーション科、老年精神科</t>
  </si>
  <si>
    <t>柴田郡川崎町大字川内字北川原山７２番地</t>
  </si>
  <si>
    <t>医療法人仁泉会　川崎こころ病院</t>
  </si>
  <si>
    <t>望月　貴子</t>
  </si>
  <si>
    <t>内科、消化器科、外科</t>
  </si>
  <si>
    <t>大沼胃腸科内科外科医院</t>
  </si>
  <si>
    <t>大沼　勝</t>
  </si>
  <si>
    <t>内科、血液内科</t>
  </si>
  <si>
    <t>柴田郡柴田町槻木上町２丁目７番２５号</t>
  </si>
  <si>
    <t>いのまた　胃と腸・内科クリニック</t>
  </si>
  <si>
    <t>猪股　美津恵</t>
  </si>
  <si>
    <t>いのまた胃と腸・内科クリニック</t>
  </si>
  <si>
    <t>猪股　芳文</t>
  </si>
  <si>
    <t>八木沼眼科クリニック</t>
  </si>
  <si>
    <t>八木沼　康之</t>
  </si>
  <si>
    <t>医療法人玉川　太田内科</t>
  </si>
  <si>
    <t>太田　宗夫</t>
  </si>
  <si>
    <t>みやぎ県南医療生活協同組合　しばた協同クリニック</t>
  </si>
  <si>
    <t>小幡　篤</t>
  </si>
  <si>
    <t>船岡中央クリニック</t>
  </si>
  <si>
    <t>前川　浩樹</t>
  </si>
  <si>
    <t>内科、消化器内科、循環器内科、呼吸器内科</t>
  </si>
  <si>
    <t>津守　孝彦</t>
  </si>
  <si>
    <t>吉野　泰啓</t>
  </si>
  <si>
    <t>黒川郡大和町小野字漆海道１番地の１（１６Ｂ１０Ｌ）</t>
  </si>
  <si>
    <t>しあわせの杜こどもファミリークリニック</t>
  </si>
  <si>
    <t>岩澤　伸哉</t>
  </si>
  <si>
    <t>かとう眼科医院</t>
  </si>
  <si>
    <t>加藤　圭一</t>
  </si>
  <si>
    <t>黒川郡大和町吉岡字西桧木６０番地</t>
  </si>
  <si>
    <t>公立黒川病院</t>
  </si>
  <si>
    <t>田中　正彦</t>
  </si>
  <si>
    <t>消化器科</t>
  </si>
  <si>
    <t>黒川郡大和町吉岡字西桧木６０</t>
  </si>
  <si>
    <t>高橋　広喜</t>
  </si>
  <si>
    <t>芳賀　泉</t>
  </si>
  <si>
    <t>筒井　美穂</t>
  </si>
  <si>
    <t>深見内科・循環器内科医院</t>
  </si>
  <si>
    <t>深見　健一</t>
  </si>
  <si>
    <t>内科、腫瘍内科</t>
  </si>
  <si>
    <t>黒川郡大和町吉岡まほろば一丁目5番地の4</t>
  </si>
  <si>
    <t>吉岡まほろばクリニック</t>
  </si>
  <si>
    <t>大石　隆之</t>
  </si>
  <si>
    <t>内科、産婦人科、婦人科</t>
  </si>
  <si>
    <t>まほろばレディースクリニック</t>
  </si>
  <si>
    <t>鈴木　吉也</t>
  </si>
  <si>
    <t>医療法人葵阪会ほそごえ整形外科</t>
  </si>
  <si>
    <t>細越　琢</t>
  </si>
  <si>
    <t>七ツ森ファミリークリニック</t>
  </si>
  <si>
    <t>室谷　嘉一</t>
  </si>
  <si>
    <t>内科、胃腸内科、腫瘍内科</t>
  </si>
  <si>
    <t>医療法人社団俊香会　杉山医院</t>
  </si>
  <si>
    <t>杉山　俊輔</t>
  </si>
  <si>
    <t>までなクリニック</t>
  </si>
  <si>
    <t>三田　貴士</t>
  </si>
  <si>
    <t>伊礼整形外科</t>
  </si>
  <si>
    <t>伊礼　修</t>
  </si>
  <si>
    <t>やまと在宅診療所栗原</t>
  </si>
  <si>
    <t>渡辺　雄輝</t>
  </si>
  <si>
    <t>栗原市立栗原中央病院</t>
  </si>
  <si>
    <t>深澤　恭之朗</t>
  </si>
  <si>
    <t>青柳　肇</t>
  </si>
  <si>
    <t>半田　智之</t>
  </si>
  <si>
    <t>平本　哲也</t>
  </si>
  <si>
    <t>矢作　浩一</t>
  </si>
  <si>
    <t>高橋　光浩</t>
  </si>
  <si>
    <t>大泉　晶</t>
  </si>
  <si>
    <t>木田　真美</t>
  </si>
  <si>
    <t>小泉　勝</t>
  </si>
  <si>
    <t>宇佐美　修</t>
  </si>
  <si>
    <t>あさの眼科医院</t>
  </si>
  <si>
    <t>浅野　良弘</t>
  </si>
  <si>
    <t>栗原市若柳字川北堤下２７</t>
  </si>
  <si>
    <t>医療法人財団弘慈会石橋病院</t>
  </si>
  <si>
    <t>高井　修</t>
  </si>
  <si>
    <t>栗原市若柳字川北原畑23番地4</t>
  </si>
  <si>
    <t>栗原市立若柳病院</t>
  </si>
  <si>
    <t>齋藤　隆幸</t>
  </si>
  <si>
    <t>菊池　寛</t>
  </si>
  <si>
    <t>秋保　直樹</t>
  </si>
  <si>
    <t>おの眼科クリニック</t>
  </si>
  <si>
    <t>小野　省太</t>
  </si>
  <si>
    <t>医療法人敬愛会　令和クリニック</t>
  </si>
  <si>
    <t>斉藤　揚三</t>
  </si>
  <si>
    <t>内科、胃腸科、外科、皮膚科、泌尿器科</t>
  </si>
  <si>
    <t>栗原市一迫真坂字町東２８</t>
  </si>
  <si>
    <t>医療法人桂仁会たまがけ医院</t>
  </si>
  <si>
    <t>玉懸　琢磨</t>
  </si>
  <si>
    <t>栗原市一迫真坂字清水山王前６ー５</t>
  </si>
  <si>
    <t>宮城島クリニック</t>
  </si>
  <si>
    <t>宮城島　慶</t>
  </si>
  <si>
    <t>くろさわ整形外科</t>
  </si>
  <si>
    <t>黒澤　宏行</t>
  </si>
  <si>
    <t>一迫内科クリニック</t>
  </si>
  <si>
    <t>佐々木　浩</t>
  </si>
  <si>
    <t>内科、アレルギー科、リウマチ科、リハビリテーション科</t>
  </si>
  <si>
    <t>ゆうファミリークリニック</t>
  </si>
  <si>
    <t>高橋　裕一</t>
  </si>
  <si>
    <t>アレルギー科、皮膚科</t>
  </si>
  <si>
    <t>宮城郡利府町利府字新屋田前２２イオンモール新利府北館２F</t>
  </si>
  <si>
    <t>医療法人社団廣仁会　りふ皮膚科アレルギー科クリニック</t>
  </si>
  <si>
    <t>山崎　研志</t>
  </si>
  <si>
    <t>宮城郡利府町利府字新屋田前２２</t>
  </si>
  <si>
    <t>水芦　政人</t>
  </si>
  <si>
    <t>リウマチ科、整形外科、リハビリテーション科</t>
  </si>
  <si>
    <t>利府整形外科クリニック</t>
  </si>
  <si>
    <t>坂本　敬</t>
  </si>
  <si>
    <t>せせらぎ耳鼻科</t>
  </si>
  <si>
    <t>志賀　伸之</t>
  </si>
  <si>
    <t>医療法人社団にしむら整形外科</t>
  </si>
  <si>
    <t>西村　和也</t>
  </si>
  <si>
    <t>仙塩利府病院</t>
  </si>
  <si>
    <t>大島　英敏</t>
  </si>
  <si>
    <t>医療法人寶樹会　仙塩利府病院</t>
  </si>
  <si>
    <t>野村　和弘</t>
  </si>
  <si>
    <t>髙井　俊輔</t>
  </si>
  <si>
    <t>井上　寛一</t>
  </si>
  <si>
    <t>神尾　一彦</t>
  </si>
  <si>
    <t>宮坂　芳典</t>
  </si>
  <si>
    <t>麻酔科</t>
  </si>
  <si>
    <t>鈴木　寛寿</t>
  </si>
  <si>
    <t>入野　樹美</t>
  </si>
  <si>
    <t>泉山　拓也</t>
  </si>
  <si>
    <t>宮城郡利府町森郷字新太子堂５１</t>
  </si>
  <si>
    <t>宮城利府掖済会病院</t>
  </si>
  <si>
    <t>石垣　英典</t>
  </si>
  <si>
    <t>片寄　大</t>
  </si>
  <si>
    <t>宮城郡利府町新中道二丁目５番１０号</t>
  </si>
  <si>
    <t>新中道皮ふ科クリニック</t>
  </si>
  <si>
    <t>林　昌浩</t>
  </si>
  <si>
    <t>内科、腎臓内科</t>
  </si>
  <si>
    <t>宮城郡利府町新中道２丁目１番地２</t>
  </si>
  <si>
    <t>りふの内科クリニック</t>
  </si>
  <si>
    <t>中山　恵輔</t>
  </si>
  <si>
    <t>腎臓内科、内分泌内科</t>
  </si>
  <si>
    <t>宮田　正弘</t>
  </si>
  <si>
    <t>やすい眼科</t>
  </si>
  <si>
    <t>安井　朝輝</t>
  </si>
  <si>
    <t>松島医療生活協同組合松島海岸診療所</t>
  </si>
  <si>
    <t>菅野　耀介</t>
  </si>
  <si>
    <t>医療法人友仁会松島病院</t>
  </si>
  <si>
    <t>丹野　尚</t>
  </si>
  <si>
    <t>内科、小児科、人腎内科</t>
  </si>
  <si>
    <t>医療法人社団中山クリニック</t>
  </si>
  <si>
    <t>中山　大典</t>
  </si>
  <si>
    <t>内科、消化器科、小児科</t>
  </si>
  <si>
    <t>かしま田園クリニック</t>
  </si>
  <si>
    <t>鹿島　哲</t>
  </si>
  <si>
    <t>内科、精神科、小児科、外科、整形外科</t>
  </si>
  <si>
    <t>気仙沼市本吉町津谷明戸２２２番地２</t>
  </si>
  <si>
    <t>気仙沼市立病院附属本吉医院</t>
  </si>
  <si>
    <t>齊藤　稔哲</t>
  </si>
  <si>
    <t>小林直樹眼科</t>
  </si>
  <si>
    <t>小林　直樹</t>
  </si>
  <si>
    <t>内科、小児科、循環器内科</t>
  </si>
  <si>
    <t>小野医院</t>
  </si>
  <si>
    <t>菊地　淳一</t>
  </si>
  <si>
    <t>気仙沼市田中前二丁目１番地１０</t>
  </si>
  <si>
    <t>条南整形外科</t>
  </si>
  <si>
    <t>森戸　伸吾</t>
  </si>
  <si>
    <t>こまつ内科医院</t>
  </si>
  <si>
    <t>小松　正歩</t>
  </si>
  <si>
    <t>医療法人千圃　鈴木医院</t>
  </si>
  <si>
    <t>鈴木　裕道</t>
  </si>
  <si>
    <t>気仙沼市赤岩杉ノ沢８番地２</t>
  </si>
  <si>
    <t>気仙沼市立病院</t>
  </si>
  <si>
    <t>市川　遼</t>
  </si>
  <si>
    <t>針生　新也</t>
  </si>
  <si>
    <t>西本　光男</t>
  </si>
  <si>
    <t>濵田　壮志</t>
  </si>
  <si>
    <t>小柴　康利</t>
  </si>
  <si>
    <t>竹本　淳</t>
  </si>
  <si>
    <t>大友　浩志</t>
  </si>
  <si>
    <t>淺倉　毅</t>
  </si>
  <si>
    <t>星　達也</t>
  </si>
  <si>
    <t>尾形　和則</t>
  </si>
  <si>
    <t>芳賀　貴裕</t>
  </si>
  <si>
    <t>信濃　寬久</t>
  </si>
  <si>
    <t>精神神経科</t>
  </si>
  <si>
    <t>三峰病院</t>
  </si>
  <si>
    <t>連記　成史</t>
  </si>
  <si>
    <t>岩沼市里の杜一丁目２番５号</t>
  </si>
  <si>
    <t>総合南東北病院</t>
  </si>
  <si>
    <t>沼崎　宗夫</t>
  </si>
  <si>
    <t>山下　和良</t>
  </si>
  <si>
    <t>冨井　雅人</t>
  </si>
  <si>
    <t>四條　友望</t>
  </si>
  <si>
    <t>外科、呼吸器外科</t>
  </si>
  <si>
    <t>志賀　光二郎</t>
  </si>
  <si>
    <t>横山　直信</t>
  </si>
  <si>
    <t>竹村　篤人</t>
  </si>
  <si>
    <t>加藤　昌昭</t>
  </si>
  <si>
    <t>西村　真実</t>
  </si>
  <si>
    <t>松島　忠夫</t>
  </si>
  <si>
    <t>寺嶋　正佳</t>
  </si>
  <si>
    <t>密岡　幹夫</t>
  </si>
  <si>
    <t>松山　純子</t>
  </si>
  <si>
    <t>木村　卓也</t>
  </si>
  <si>
    <t>武蔵　美保</t>
  </si>
  <si>
    <t>窪田　圭一</t>
  </si>
  <si>
    <t>社会福祉法人　将道会　総合南東北病院</t>
  </si>
  <si>
    <t>小野　理佐子</t>
  </si>
  <si>
    <t>川村　恵太</t>
  </si>
  <si>
    <t>草野　敬悟</t>
  </si>
  <si>
    <t>高橋　早友未</t>
  </si>
  <si>
    <t>奥山　澄人</t>
  </si>
  <si>
    <t>緑の里クリニック</t>
  </si>
  <si>
    <t>平野　孝幸</t>
  </si>
  <si>
    <t>片平　美明</t>
  </si>
  <si>
    <t>医療法人社団みやぎ清耀会　緑の里クリニック</t>
  </si>
  <si>
    <t>宍戸　洋</t>
  </si>
  <si>
    <t>アレルギー科、小児科</t>
  </si>
  <si>
    <t>森川こどもクリニック</t>
  </si>
  <si>
    <t>森川　貴美子</t>
  </si>
  <si>
    <t>こばやしクリニック</t>
  </si>
  <si>
    <t>小林　誠</t>
  </si>
  <si>
    <t>岩沼市中央３丁目４番１６号</t>
  </si>
  <si>
    <t>本郷医院</t>
  </si>
  <si>
    <t>大和田　直樹</t>
  </si>
  <si>
    <t>岩沼市寺島字北新田１１１</t>
  </si>
  <si>
    <t>特定医療法人松涛会南浜中央病院</t>
  </si>
  <si>
    <t>加藤　薫子</t>
  </si>
  <si>
    <t>岩沼市寺島字北新田　１１１</t>
  </si>
  <si>
    <t>医療法人松涛会南浜中央病院</t>
  </si>
  <si>
    <t>小谷　育男</t>
  </si>
  <si>
    <t>医療法人社団さくら有鄰堂　板橋眼科医院</t>
  </si>
  <si>
    <t>板橋　俊隆</t>
  </si>
  <si>
    <t>あかま皮膚科クリニック</t>
  </si>
  <si>
    <t>赤間　智範</t>
  </si>
  <si>
    <t>森整形外科ｸﾘﾆｯｸ</t>
  </si>
  <si>
    <t>森　武人</t>
  </si>
  <si>
    <t>岩沼市押分字間畑１０番地１</t>
  </si>
  <si>
    <t>なかやま整形外科クリニック</t>
  </si>
  <si>
    <t>中山　広明</t>
  </si>
  <si>
    <t>内科、外科、胃腸内科、消化器内科、内視鏡内科</t>
  </si>
  <si>
    <t>なくい外科内科胃腸内科クリニック</t>
  </si>
  <si>
    <t>名久井　実</t>
  </si>
  <si>
    <t>内科、呼吸器科、消化器科、循環器科</t>
  </si>
  <si>
    <t>刈田郡蔵王町宮字町３６</t>
  </si>
  <si>
    <t>医療法人社団恒心会佐藤医院</t>
  </si>
  <si>
    <t>佐藤　恒明</t>
  </si>
  <si>
    <t>佐藤　幸子</t>
  </si>
  <si>
    <t>内科、神経内科、皮膚科</t>
  </si>
  <si>
    <t>医療法人名取会　名取医院</t>
  </si>
  <si>
    <t>名取　達德</t>
  </si>
  <si>
    <t>角田市角田字田町９０</t>
  </si>
  <si>
    <t>大槻眼科医院</t>
  </si>
  <si>
    <t>石川　明</t>
  </si>
  <si>
    <t>角田市角田字田町123</t>
  </si>
  <si>
    <t>医療法人金上仁友会　金上病院</t>
  </si>
  <si>
    <t>齊藤　弘樹</t>
  </si>
  <si>
    <t>角田市角田字田町１２３</t>
  </si>
  <si>
    <t>医療法人金上仁友会金上病院</t>
  </si>
  <si>
    <t>山本　友香</t>
  </si>
  <si>
    <t>角田市角田字町１９２</t>
  </si>
  <si>
    <t>まつもと整形外科リハビリテーションクリニック</t>
  </si>
  <si>
    <t>松本　周</t>
  </si>
  <si>
    <t>角田市角田字牛舘１６番地</t>
  </si>
  <si>
    <t>医療法人本多友愛会　仙南病院</t>
  </si>
  <si>
    <t>櫛田　正男</t>
  </si>
  <si>
    <t>山岸　初志</t>
  </si>
  <si>
    <t>本多　正久</t>
  </si>
  <si>
    <t>菅野眼科医院</t>
  </si>
  <si>
    <t>菅野　陳一郎</t>
  </si>
  <si>
    <t>加美郡加美町字西町７８番地１</t>
  </si>
  <si>
    <t>よこやま医院</t>
  </si>
  <si>
    <t>横山　成邦</t>
  </si>
  <si>
    <t>加美郡加美町字西町４８</t>
  </si>
  <si>
    <t>医療法人佐々木胃腸科</t>
  </si>
  <si>
    <t>及川　正道</t>
  </si>
  <si>
    <t>加美郡加美町字旧舘一番８０番地の２</t>
  </si>
  <si>
    <t>医療法人社団伊藤医院</t>
  </si>
  <si>
    <t>伊藤　健太</t>
  </si>
  <si>
    <t>内科、アレルギー科、呼吸器内科、感染症内科</t>
  </si>
  <si>
    <t>おのだクリニック</t>
  </si>
  <si>
    <t>三浦　洋</t>
  </si>
  <si>
    <t>牡鹿郡女川町鷲神浜字堀切山１０７番地１</t>
  </si>
  <si>
    <t>女川町地域医療センター</t>
  </si>
  <si>
    <t>齋藤　充</t>
  </si>
  <si>
    <t>本塩釜耳鼻咽喉科クリニック</t>
  </si>
  <si>
    <t>沖津　尚弘</t>
  </si>
  <si>
    <t>塩竈市南錦町　８ー１０</t>
  </si>
  <si>
    <t>医療法人社団藤谷内科クリニック</t>
  </si>
  <si>
    <t>藤谷　拓</t>
  </si>
  <si>
    <t>川合整形外科クリニック</t>
  </si>
  <si>
    <t>川合　淳</t>
  </si>
  <si>
    <t>内科、アレルギー科、リウマチ科</t>
  </si>
  <si>
    <t>医療法人社団　無量井内科クリニツク</t>
  </si>
  <si>
    <t>無量井　泰</t>
  </si>
  <si>
    <t>医療法人菅野愛生会緑ヶ丘病院</t>
  </si>
  <si>
    <t>上野　孝之</t>
  </si>
  <si>
    <t>塩竈市香津町７番１号</t>
  </si>
  <si>
    <t>塩竈市立病院</t>
  </si>
  <si>
    <t>出口　雅敏</t>
  </si>
  <si>
    <t>塩竈市香津町７ー１</t>
  </si>
  <si>
    <t>真野　浩</t>
  </si>
  <si>
    <t>斉藤　孝幸</t>
  </si>
  <si>
    <t>秋重　尚貴</t>
  </si>
  <si>
    <t>阿部　憲男</t>
  </si>
  <si>
    <t>横山　忠明</t>
  </si>
  <si>
    <t>横田　実</t>
  </si>
  <si>
    <t>福原　賢治</t>
  </si>
  <si>
    <t>伊藤　喜和</t>
  </si>
  <si>
    <t>坂総合病院附属　北部診療所</t>
  </si>
  <si>
    <t>吉田　新</t>
  </si>
  <si>
    <t>宮沼　弘明</t>
  </si>
  <si>
    <t>塩竈市錦町１６ー５</t>
  </si>
  <si>
    <t>公益財団法人　宮城厚生協会　坂総合病院</t>
  </si>
  <si>
    <t>伊在井　淳子</t>
  </si>
  <si>
    <t>佐澤　由郎</t>
  </si>
  <si>
    <t>生方　智</t>
  </si>
  <si>
    <t>糖尿病代謝科</t>
  </si>
  <si>
    <t>盛口　雅美</t>
  </si>
  <si>
    <t>大森　崇博</t>
  </si>
  <si>
    <t>循環器科</t>
  </si>
  <si>
    <t>渡部　潔</t>
  </si>
  <si>
    <t>渡辺　洋</t>
  </si>
  <si>
    <t>緩和ケア科</t>
  </si>
  <si>
    <t>北山　治仁</t>
  </si>
  <si>
    <t>冨山　陽介</t>
  </si>
  <si>
    <t>盛口　佳宏</t>
  </si>
  <si>
    <t>渋谷　清貴</t>
  </si>
  <si>
    <t>小熊　信</t>
  </si>
  <si>
    <t>庄司　とも子</t>
  </si>
  <si>
    <t>藤原　大</t>
  </si>
  <si>
    <t>舩山　広幸</t>
  </si>
  <si>
    <t>塩竈市錦町　５ー１３</t>
  </si>
  <si>
    <t>鳥越塩釜腎クリニック</t>
  </si>
  <si>
    <t>鳥越　暁</t>
  </si>
  <si>
    <t>ちば整形外科クリニック</t>
  </si>
  <si>
    <t>千葉　伸一</t>
  </si>
  <si>
    <t>宮町脳神経・眼科クリニック</t>
  </si>
  <si>
    <t>杉山　真由美</t>
  </si>
  <si>
    <t>鈴木眼科医院</t>
  </si>
  <si>
    <t>鈴木　健史</t>
  </si>
  <si>
    <t>赤石病院</t>
  </si>
  <si>
    <t>香川　茂樹</t>
  </si>
  <si>
    <t>赤石　治</t>
  </si>
  <si>
    <t>赤石　隆</t>
  </si>
  <si>
    <t>赤石　洋</t>
  </si>
  <si>
    <t>千葉　庸夫</t>
  </si>
  <si>
    <t>金　医院</t>
  </si>
  <si>
    <t>金　俊行</t>
  </si>
  <si>
    <t>塩釜市錦町１６ー５</t>
  </si>
  <si>
    <t>公益財団法人宮城厚生協会坂総合病院</t>
  </si>
  <si>
    <t>鹿島　雄州</t>
  </si>
  <si>
    <t>秋元　博之</t>
  </si>
  <si>
    <t>稲垣　倫子</t>
  </si>
  <si>
    <t>豊田　将夫</t>
  </si>
  <si>
    <t>神宮　大輔</t>
  </si>
  <si>
    <t>神経内科、内科</t>
  </si>
  <si>
    <t>杉山　泰二</t>
  </si>
  <si>
    <t>遠田郡涌谷町涌谷字中江南２７８</t>
  </si>
  <si>
    <t>涌谷町国民健康保険病院</t>
  </si>
  <si>
    <t>鈴木　憲次郎</t>
  </si>
  <si>
    <t>三浦　啓己</t>
  </si>
  <si>
    <t>江藤　雅彦</t>
  </si>
  <si>
    <t>つのだ眼科</t>
  </si>
  <si>
    <t>角田　雅宏</t>
  </si>
  <si>
    <t>わくや整形外科</t>
  </si>
  <si>
    <t>大江　桂成</t>
  </si>
  <si>
    <t>遠田郡美里町木間塚字原田５</t>
  </si>
  <si>
    <t>美里町立南郷病院</t>
  </si>
  <si>
    <t>玉手　英一</t>
  </si>
  <si>
    <t>整形外科、形成外科、皮膚科</t>
  </si>
  <si>
    <t>袖井クリニック</t>
  </si>
  <si>
    <t>袖井　文二</t>
  </si>
  <si>
    <t>医療法人社団　順神会　こごた整形外科クリニック</t>
  </si>
  <si>
    <t>佐藤　諒</t>
  </si>
  <si>
    <t>遠田郡美里町字素山町１８番地１号</t>
  </si>
  <si>
    <t>熱海医院</t>
  </si>
  <si>
    <t>熱海　智章</t>
  </si>
  <si>
    <t>髙城利江整形外科</t>
  </si>
  <si>
    <t>髙城　利江</t>
  </si>
  <si>
    <t>伊具郡丸森町字鳥屋２７</t>
  </si>
  <si>
    <t>丸森町国民健康保険丸森病院</t>
  </si>
  <si>
    <t>大友　正隆</t>
  </si>
  <si>
    <t>医療法人社団　三上医院</t>
  </si>
  <si>
    <t>三上　裕嗣</t>
  </si>
  <si>
    <t>難病指定医（研修資格）</t>
  </si>
  <si>
    <t>内科、外科、こう門科、消化器内科</t>
  </si>
  <si>
    <t>亘理郡亘理町字新町５３番２</t>
  </si>
  <si>
    <t>三浦クリニック</t>
  </si>
  <si>
    <t>三浦　俊治</t>
  </si>
  <si>
    <t>医療法人社団やべ内科クリニック亘理診療所</t>
  </si>
  <si>
    <t>矢部　珠美</t>
  </si>
  <si>
    <t>亘理郡山元町高瀬字合戦原１００番地</t>
  </si>
  <si>
    <t>志澤　聡一郎</t>
  </si>
  <si>
    <t>張替　宗介</t>
  </si>
  <si>
    <t>中村　貴彬</t>
  </si>
  <si>
    <t>齊藤　秀行</t>
  </si>
  <si>
    <t>清野　仁</t>
  </si>
  <si>
    <t>人工透析内科</t>
  </si>
  <si>
    <t>名取市本郷字焼野１３６</t>
  </si>
  <si>
    <t>りんくう透析クリニック</t>
  </si>
  <si>
    <t>伊藤　幸</t>
  </si>
  <si>
    <t>名取市美田園７丁目１７番地の３</t>
  </si>
  <si>
    <t>ゆりあげクリニック</t>
  </si>
  <si>
    <t>溝井　賢幸</t>
  </si>
  <si>
    <t>内科、消化器内科、循環器内科</t>
  </si>
  <si>
    <t>医療法人もくせい会　守健診内科</t>
  </si>
  <si>
    <t>東郷　暁</t>
  </si>
  <si>
    <t>内科、外科、緩和ケア内科</t>
  </si>
  <si>
    <t>名取市増田9丁目2番2号</t>
  </si>
  <si>
    <t>やまと在宅診療所名取</t>
  </si>
  <si>
    <t>中保　利通</t>
  </si>
  <si>
    <t>内科、外科、消化器内科</t>
  </si>
  <si>
    <t>館腰クリニック</t>
  </si>
  <si>
    <t>益子　啓</t>
  </si>
  <si>
    <t>佐々木　治</t>
  </si>
  <si>
    <t>齋藤　勉</t>
  </si>
  <si>
    <t>角川　智子</t>
  </si>
  <si>
    <t>内科、循環器内科、呼吸器内科</t>
  </si>
  <si>
    <t>田口　幸生</t>
  </si>
  <si>
    <t>内科、循環器内科、人工透析内科</t>
  </si>
  <si>
    <t>渡邉　哲子</t>
  </si>
  <si>
    <t>佐々木　修一</t>
  </si>
  <si>
    <t>白石市福岡蔵本字下原沖　３６</t>
  </si>
  <si>
    <t>伊藤　貞利</t>
  </si>
  <si>
    <t>内科、消化器内科、循環器内科、呼吸器内科、糖尿病代謝内科</t>
  </si>
  <si>
    <t>海上内科医院</t>
  </si>
  <si>
    <t>海上　寛</t>
  </si>
  <si>
    <t>海上　寛之</t>
  </si>
  <si>
    <t>かんのリズムハートクリニック</t>
  </si>
  <si>
    <t>菅野　裕幸</t>
  </si>
  <si>
    <t>内科、小児科、外科</t>
  </si>
  <si>
    <t>白石市清水小路６番地３</t>
  </si>
  <si>
    <t>堤　栄克</t>
  </si>
  <si>
    <t>たかはし内科クリニック</t>
  </si>
  <si>
    <t>高橋　昌宏</t>
  </si>
  <si>
    <t>菅野　麻里那</t>
  </si>
  <si>
    <t>真壁　有美</t>
  </si>
  <si>
    <t>野蒜ケ丘痛みのクリニック</t>
  </si>
  <si>
    <t>三浦　皓子</t>
  </si>
  <si>
    <t>長南　明道</t>
  </si>
  <si>
    <t>神部　眞理子</t>
  </si>
  <si>
    <t>小寺　俊之</t>
  </si>
  <si>
    <t>内科、外科、小児科</t>
  </si>
  <si>
    <t>登米市米山町西野字西野前202ー1</t>
  </si>
  <si>
    <t>しのはらクリニック</t>
  </si>
  <si>
    <t>篠原　大輔</t>
  </si>
  <si>
    <t>登米市迫町佐沼南元丁７２</t>
  </si>
  <si>
    <t>角田　圭一</t>
  </si>
  <si>
    <t>遊佐内科胃腸科医院</t>
  </si>
  <si>
    <t>遊佐　健二</t>
  </si>
  <si>
    <t>やまと在宅診療所登米</t>
  </si>
  <si>
    <t>田上　佑輔</t>
  </si>
  <si>
    <t>一般内科、消化器内科</t>
  </si>
  <si>
    <t>登米市迫町佐沼字天神前８０</t>
  </si>
  <si>
    <t>千葉医院</t>
  </si>
  <si>
    <t>齋藤　順子</t>
  </si>
  <si>
    <t>二瓶内科胃腸科医院</t>
  </si>
  <si>
    <t>二瓶　公佑</t>
  </si>
  <si>
    <t>上杉皮膚科医院</t>
  </si>
  <si>
    <t>上杉　恭弘</t>
  </si>
  <si>
    <t>大坂　英通</t>
  </si>
  <si>
    <t>医療法人社団　やすらぎの里　サンクリニック</t>
  </si>
  <si>
    <t>宮崎　崇</t>
  </si>
  <si>
    <t>千葉　正典</t>
  </si>
  <si>
    <t>登米市東和町米谷字元町　２００</t>
  </si>
  <si>
    <t>上野　正博</t>
  </si>
  <si>
    <t>登米市津山町柳津字幣崎４２２</t>
  </si>
  <si>
    <t>おおともクリニック</t>
  </si>
  <si>
    <t>大友　信也</t>
  </si>
  <si>
    <t>みうら眼科医院</t>
  </si>
  <si>
    <t>三浦　俊之</t>
  </si>
  <si>
    <t>大崎市鳴子温泉字湯元１０４</t>
  </si>
  <si>
    <t>遊佐クリニック</t>
  </si>
  <si>
    <t>遊佐　幸暁</t>
  </si>
  <si>
    <t>小野　紘彦</t>
  </si>
  <si>
    <t>竹内　雅治</t>
  </si>
  <si>
    <t>冨樫クリニック</t>
  </si>
  <si>
    <t>冨樫　孝</t>
  </si>
  <si>
    <t>医療法人社団昌柏会　塩沢整形外科クリニック</t>
  </si>
  <si>
    <t>塩沢　広重</t>
  </si>
  <si>
    <t>大崎市古川字本鹿島145</t>
  </si>
  <si>
    <t>みやぎ北部循環器科</t>
  </si>
  <si>
    <t>和田　有行</t>
  </si>
  <si>
    <t>野老山　博紀</t>
  </si>
  <si>
    <t>大崎市古川駅東２ー１１ー１４</t>
  </si>
  <si>
    <t>公益財団法人宮城厚生協会古川民主病院</t>
  </si>
  <si>
    <t>呉　賢一</t>
  </si>
  <si>
    <t>真崎　拓也</t>
  </si>
  <si>
    <t>医療法人社団やまと　やまと在宅診療所大崎</t>
  </si>
  <si>
    <t>菊池　祐</t>
  </si>
  <si>
    <t>やまと在宅診療所大崎</t>
  </si>
  <si>
    <t>辻　薫菜子</t>
  </si>
  <si>
    <t>大崎市古川駅東　２ー１１ー１４</t>
  </si>
  <si>
    <t>古川民主病院</t>
  </si>
  <si>
    <t>佐藤　英之</t>
  </si>
  <si>
    <t>一般財団法人　片倉病院</t>
  </si>
  <si>
    <t>片倉　康次</t>
  </si>
  <si>
    <t>内科、呼吸器科、アレルギー科</t>
  </si>
  <si>
    <t>医療法人卓敬会　まえひらクリニック</t>
  </si>
  <si>
    <t>真榮平　昇</t>
  </si>
  <si>
    <t>笠神ハートクリニック</t>
  </si>
  <si>
    <t>薗部　太郎</t>
  </si>
  <si>
    <t>内科、訪問診療</t>
  </si>
  <si>
    <t>医療法人社団築山会仙台泉クリニック</t>
  </si>
  <si>
    <t>橋本　航</t>
  </si>
  <si>
    <t>医療法人壮羽会　そうや在宅診療クリニック</t>
  </si>
  <si>
    <t>小野川　徹</t>
  </si>
  <si>
    <t>相沢泌尿器科医院</t>
  </si>
  <si>
    <t>相沢　正孝</t>
  </si>
  <si>
    <t>ものうファミリークリニック</t>
  </si>
  <si>
    <t>齊藤　保</t>
  </si>
  <si>
    <t>医療法人　清芳会　中浦内科医院</t>
  </si>
  <si>
    <t>佐藤　純</t>
  </si>
  <si>
    <t>大石　千明</t>
  </si>
  <si>
    <t>石田　秀一</t>
  </si>
  <si>
    <t>石巻市相野谷字飯野川町１２２</t>
  </si>
  <si>
    <t>成田医院</t>
  </si>
  <si>
    <t>成田　満義</t>
  </si>
  <si>
    <t>須江きむら医院</t>
  </si>
  <si>
    <t>木村　周</t>
  </si>
  <si>
    <t>赤間　裕良</t>
  </si>
  <si>
    <t>紫桃内科医院</t>
  </si>
  <si>
    <t>紫桃　正裕</t>
  </si>
  <si>
    <t>石巻市山下町１丁目７番２４号</t>
  </si>
  <si>
    <t>瀬野　暢仁</t>
  </si>
  <si>
    <t>齋藤　元一</t>
  </si>
  <si>
    <t>盛田　眞樹</t>
  </si>
  <si>
    <t>齋藤　仁一</t>
  </si>
  <si>
    <t>櫻井　克彦</t>
  </si>
  <si>
    <t>柴田　佳子</t>
  </si>
  <si>
    <t>内科、リウマチ科、リハビリテーション科</t>
  </si>
  <si>
    <t>河村　修</t>
  </si>
  <si>
    <t>内科、</t>
  </si>
  <si>
    <t>石巻市茜平四丁目104番地</t>
  </si>
  <si>
    <t>医療法人清芳会　佐藤内科医院</t>
  </si>
  <si>
    <t>佐藤　文彦</t>
  </si>
  <si>
    <t>佐藤　清壽</t>
  </si>
  <si>
    <t>石巻市わかば二丁目13ー５</t>
  </si>
  <si>
    <t>医療法人社団　鉄祐会　祐ホームクリニック　石巻</t>
  </si>
  <si>
    <t>落合　紀宏</t>
  </si>
  <si>
    <t>内科、外科、皮膚科、こう門科、麻酔科</t>
  </si>
  <si>
    <t>河内　三郎</t>
  </si>
  <si>
    <t>いのまた眼科</t>
  </si>
  <si>
    <t>猪股　健一</t>
  </si>
  <si>
    <t>阿曽沼　祥</t>
  </si>
  <si>
    <t>糖尿病・内分泌内科</t>
  </si>
  <si>
    <t>山本　雄太郎</t>
  </si>
  <si>
    <t>国民健康保険　川崎病院</t>
  </si>
  <si>
    <t>内山　美寧</t>
  </si>
  <si>
    <t>柴田郡川崎町大字川内字北川原山７２</t>
  </si>
  <si>
    <t>工藤　静華</t>
  </si>
  <si>
    <t>老年精神科</t>
  </si>
  <si>
    <t>柴田郡川崎町川内字北川原山７２番地</t>
  </si>
  <si>
    <t>川崎こころ病院</t>
  </si>
  <si>
    <t>石井　洋</t>
  </si>
  <si>
    <t>内科、外科、整形外科、泌尿器科、肛門外科</t>
  </si>
  <si>
    <t>医療法人社団秀成会　乾医院</t>
  </si>
  <si>
    <t>乾　秀</t>
  </si>
  <si>
    <t>角田　浩</t>
  </si>
  <si>
    <t>横道　弘直</t>
  </si>
  <si>
    <t>黒川郡大和町吉岡字上町２５</t>
  </si>
  <si>
    <t>ひろこクリニック</t>
  </si>
  <si>
    <t>吉永　ひろ子</t>
  </si>
  <si>
    <t>内科、神経内科、消化器内科、循環器内科、呼吸器内科、人工透析内科</t>
  </si>
  <si>
    <t>永沼　滋</t>
  </si>
  <si>
    <t>奈良　志博</t>
  </si>
  <si>
    <t>大堀　久詔</t>
  </si>
  <si>
    <t>医療法人社団玄成会　達内科</t>
  </si>
  <si>
    <t>佐藤　自伸</t>
  </si>
  <si>
    <t>内科、循環器科</t>
  </si>
  <si>
    <t>高橋ハートクリニック</t>
  </si>
  <si>
    <t>髙橋　和彦</t>
  </si>
  <si>
    <t>内科、緩和ケア、呼吸器内科</t>
  </si>
  <si>
    <t>新藤　哲</t>
  </si>
  <si>
    <t>中里　直樹</t>
  </si>
  <si>
    <t>栗原市若柳字川北欠２１ー１</t>
  </si>
  <si>
    <t>佐々木内科医院</t>
  </si>
  <si>
    <t>佐々木　厚</t>
  </si>
  <si>
    <t>栗原市立栗駒病院</t>
  </si>
  <si>
    <t>阿部　裕</t>
  </si>
  <si>
    <t>栗原市栗駒岩ケ崎松木田１０番地１</t>
  </si>
  <si>
    <t>名久井　雅樹</t>
  </si>
  <si>
    <t>村上　泰介</t>
  </si>
  <si>
    <t>栗原市一迫字川口中野１０</t>
  </si>
  <si>
    <t>熊坂医院</t>
  </si>
  <si>
    <t>熊坂　祝久</t>
  </si>
  <si>
    <t>佐藤　容子</t>
  </si>
  <si>
    <t>南気仙沼内科医院</t>
  </si>
  <si>
    <t>笠沼　勇一</t>
  </si>
  <si>
    <t>内科、消化器内科、糖尿病内科</t>
  </si>
  <si>
    <t>あいざわクリニック</t>
  </si>
  <si>
    <t>大和田　雅信</t>
  </si>
  <si>
    <t>外科、消化器科</t>
  </si>
  <si>
    <t>医療法人華月会　村岡外科クリニック</t>
  </si>
  <si>
    <t>村岡　正朗</t>
  </si>
  <si>
    <t>鵜浦　友輔</t>
  </si>
  <si>
    <t>滝田　克也</t>
  </si>
  <si>
    <t>岩本　隆志</t>
  </si>
  <si>
    <t>社会医療法人将道会 総合南東北病院</t>
  </si>
  <si>
    <t>大友　達志</t>
  </si>
  <si>
    <t>精神科、脳神経内科</t>
  </si>
  <si>
    <t>てんかん病院ベーテル</t>
  </si>
  <si>
    <t>曽我　天馬</t>
  </si>
  <si>
    <t>沼田　健裕</t>
  </si>
  <si>
    <t>おなかのクリニック</t>
  </si>
  <si>
    <t>菊地　悟</t>
  </si>
  <si>
    <t>内科、消化器科、循環器科、小児科</t>
  </si>
  <si>
    <t>刈田郡蔵王町宮字町３２</t>
  </si>
  <si>
    <t>医療法人社団　内方医院</t>
  </si>
  <si>
    <t>佐藤　秀一</t>
  </si>
  <si>
    <t>刈田郡七ケ宿町字関１８３</t>
  </si>
  <si>
    <t>七ケ宿町国民健康保険診療所</t>
  </si>
  <si>
    <t>髙畠　恭介</t>
  </si>
  <si>
    <t>阿部　成房</t>
  </si>
  <si>
    <t>安藤　由紀子</t>
  </si>
  <si>
    <t>安藤　正夫</t>
  </si>
  <si>
    <t>角田市角田字牛舘１６</t>
  </si>
  <si>
    <t>早坂　弘人</t>
  </si>
  <si>
    <t>加美郡加美町字旧舘１ー１７</t>
  </si>
  <si>
    <t>鈴木内科医院</t>
  </si>
  <si>
    <t>鈴木　潤</t>
  </si>
  <si>
    <t>鈴木診療所</t>
  </si>
  <si>
    <t>鈴木　啓之</t>
  </si>
  <si>
    <t>医療法人社団　藤谷内科クリニック</t>
  </si>
  <si>
    <t>藤谷　浩</t>
  </si>
  <si>
    <t>内科、精神科、心療内科</t>
  </si>
  <si>
    <t>ふくちゃんクリニック</t>
  </si>
  <si>
    <t>木原　政博</t>
  </si>
  <si>
    <t>内科、外科、整形外科、リハビリテーション科</t>
  </si>
  <si>
    <t>ももせクリニック</t>
  </si>
  <si>
    <t>髙橋　正倫</t>
  </si>
  <si>
    <t>菅原　知広</t>
  </si>
  <si>
    <t>遠田郡美里町字藤ヶ崎町１７８</t>
  </si>
  <si>
    <t>野崎内科胃腸科</t>
  </si>
  <si>
    <t>野崎　円</t>
  </si>
  <si>
    <t>遠田郡美里町字藤ヶ崎町１７１</t>
  </si>
  <si>
    <t>野崎病院</t>
  </si>
  <si>
    <t>野崎　公男</t>
  </si>
  <si>
    <t>内科、皮膚科、糖尿病内科、ペインクリニック</t>
  </si>
  <si>
    <t>遠田郡美里町関根字道明４３番地</t>
  </si>
  <si>
    <t>美里クリニック</t>
  </si>
  <si>
    <t>佐藤　和重</t>
  </si>
  <si>
    <t>山本医院</t>
  </si>
  <si>
    <t>山本　政秀</t>
  </si>
  <si>
    <t>宮本　達夫</t>
  </si>
  <si>
    <t>協力難病指定医</t>
  </si>
  <si>
    <t>医療法人　武田内科医院</t>
  </si>
  <si>
    <t>小林　芳江</t>
  </si>
  <si>
    <t>白石市大鷹沢三沢字中山　７４ー１０</t>
  </si>
  <si>
    <t>仙南サナトリウム＋</t>
  </si>
  <si>
    <t>山岡　淑恵</t>
  </si>
  <si>
    <t>医療法人社団やまと　やまと在宅診療所白石</t>
  </si>
  <si>
    <t>島　由衣</t>
  </si>
  <si>
    <t>医療法人社団交鐘会　あおぞら在宅診療所仙台中央</t>
  </si>
  <si>
    <t>木村　千尋</t>
  </si>
  <si>
    <t>渡邊　晃佑</t>
  </si>
  <si>
    <t>末永　拓郎</t>
  </si>
  <si>
    <t>祐ホームクリニック石巻</t>
  </si>
  <si>
    <t>阿部　有佳</t>
  </si>
  <si>
    <t>伊藤　智宏</t>
  </si>
  <si>
    <t>黒川郡大衡村大衡字河原55番地11</t>
  </si>
  <si>
    <t>医療法人富優会　大衡村診療所</t>
  </si>
  <si>
    <t>片倉　順子</t>
  </si>
  <si>
    <t>角田市佐倉字上土浮２番地</t>
  </si>
  <si>
    <t>医療法人安達同済会　同済病院</t>
  </si>
  <si>
    <t>三浦　ヨウ子</t>
  </si>
  <si>
    <t>塩竈市北浜１丁目７番７号</t>
  </si>
  <si>
    <t>本塩釜耳鼻咽喉科ｸﾘﾆｯｸ</t>
  </si>
  <si>
    <t>中谷　理恵子</t>
  </si>
  <si>
    <t>担当診療科目名</t>
  </si>
  <si>
    <t>勤務先電話番号</t>
  </si>
  <si>
    <t>勤務先住所</t>
  </si>
  <si>
    <t>勤務先名称</t>
  </si>
  <si>
    <t>氏名</t>
  </si>
  <si>
    <t>指定医の種類</t>
  </si>
  <si>
    <t>連番</t>
    <rPh sb="0" eb="2">
      <t>レンバン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</si>
</sst>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1"/>
  <sheetViews>
    <sheetView tabSelected="1" zoomScaleNormal="100" workbookViewId="0">
      <selection activeCell="K13" sqref="K13"/>
    </sheetView>
  </sheetViews>
  <sheetFormatPr defaultRowHeight="18.75" x14ac:dyDescent="0.4"/>
  <cols>
    <col min="1" max="1" width="7.25" bestFit="1" customWidth="1"/>
    <col min="2" max="2" width="25.5" bestFit="1" customWidth="1"/>
    <col min="3" max="3" width="16" customWidth="1"/>
    <col min="4" max="4" width="27.375" style="1" customWidth="1"/>
    <col min="5" max="5" width="40.625" style="1" customWidth="1"/>
    <col min="6" max="6" width="17.125" bestFit="1" customWidth="1"/>
    <col min="7" max="7" width="30.125" style="1" customWidth="1"/>
  </cols>
  <sheetData>
    <row r="1" spans="1:7" x14ac:dyDescent="0.4">
      <c r="A1" s="4" t="s">
        <v>1283</v>
      </c>
      <c r="B1" s="4" t="s">
        <v>1282</v>
      </c>
      <c r="C1" s="4" t="s">
        <v>1281</v>
      </c>
      <c r="D1" s="5" t="s">
        <v>1280</v>
      </c>
      <c r="E1" s="5" t="s">
        <v>1279</v>
      </c>
      <c r="F1" s="4" t="s">
        <v>1278</v>
      </c>
      <c r="G1" s="5" t="s">
        <v>1277</v>
      </c>
    </row>
    <row r="2" spans="1:7" x14ac:dyDescent="0.4">
      <c r="A2" s="2">
        <v>1</v>
      </c>
      <c r="B2" s="2" t="s">
        <v>1253</v>
      </c>
      <c r="C2" s="2" t="s">
        <v>1276</v>
      </c>
      <c r="D2" s="3" t="s">
        <v>1275</v>
      </c>
      <c r="E2" s="3" t="s">
        <v>1274</v>
      </c>
      <c r="F2" s="2" t="str">
        <f>"050-3032-2744 "</f>
        <v xml:space="preserve">050-3032-2744 </v>
      </c>
      <c r="G2" s="3" t="s">
        <v>75</v>
      </c>
    </row>
    <row r="3" spans="1:7" x14ac:dyDescent="0.4">
      <c r="A3" s="2">
        <v>2</v>
      </c>
      <c r="B3" s="2" t="s">
        <v>1253</v>
      </c>
      <c r="C3" s="2" t="s">
        <v>1273</v>
      </c>
      <c r="D3" s="3" t="s">
        <v>1272</v>
      </c>
      <c r="E3" s="3" t="s">
        <v>1271</v>
      </c>
      <c r="F3" s="2" t="str">
        <f>"0224-63-0360  "</f>
        <v xml:space="preserve">0224-63-0360  </v>
      </c>
      <c r="G3" s="3" t="s">
        <v>160</v>
      </c>
    </row>
    <row r="4" spans="1:7" x14ac:dyDescent="0.4">
      <c r="A4" s="2">
        <v>3</v>
      </c>
      <c r="B4" s="2" t="s">
        <v>1253</v>
      </c>
      <c r="C4" s="2" t="s">
        <v>1270</v>
      </c>
      <c r="D4" s="3" t="s">
        <v>1269</v>
      </c>
      <c r="E4" s="3" t="s">
        <v>1268</v>
      </c>
      <c r="F4" s="2" t="str">
        <f>"022-345-2336  "</f>
        <v xml:space="preserve">022-345-2336  </v>
      </c>
      <c r="G4" s="3" t="s">
        <v>26</v>
      </c>
    </row>
    <row r="5" spans="1:7" x14ac:dyDescent="0.4">
      <c r="A5" s="2">
        <v>4</v>
      </c>
      <c r="B5" s="2" t="s">
        <v>1253</v>
      </c>
      <c r="C5" s="2" t="s">
        <v>1267</v>
      </c>
      <c r="D5" s="3" t="s">
        <v>1265</v>
      </c>
      <c r="E5" s="3" t="str">
        <f>"石巻市わかば２－１３－５"</f>
        <v>石巻市わかば２－１３－５</v>
      </c>
      <c r="F5" s="2" t="str">
        <f>"050-3777-2177 "</f>
        <v xml:space="preserve">050-3777-2177 </v>
      </c>
      <c r="G5" s="3" t="s">
        <v>26</v>
      </c>
    </row>
    <row r="6" spans="1:7" x14ac:dyDescent="0.4">
      <c r="A6" s="2">
        <v>5</v>
      </c>
      <c r="B6" s="2" t="s">
        <v>1253</v>
      </c>
      <c r="C6" s="2" t="s">
        <v>1266</v>
      </c>
      <c r="D6" s="3" t="s">
        <v>1265</v>
      </c>
      <c r="E6" s="3" t="str">
        <f>"石巻市わかば２－１３－５"</f>
        <v>石巻市わかば２－１３－５</v>
      </c>
      <c r="F6" s="2" t="str">
        <f>"050-3777-2177 "</f>
        <v xml:space="preserve">050-3777-2177 </v>
      </c>
      <c r="G6" s="3" t="s">
        <v>26</v>
      </c>
    </row>
    <row r="7" spans="1:7" x14ac:dyDescent="0.4">
      <c r="A7" s="2">
        <v>6</v>
      </c>
      <c r="B7" s="2" t="s">
        <v>1253</v>
      </c>
      <c r="C7" s="2" t="s">
        <v>1264</v>
      </c>
      <c r="D7" s="3" t="s">
        <v>539</v>
      </c>
      <c r="E7" s="3" t="s">
        <v>538</v>
      </c>
      <c r="F7" s="2" t="str">
        <f>"0225-25-5555  "</f>
        <v xml:space="preserve">0225-25-5555  </v>
      </c>
      <c r="G7" s="3" t="s">
        <v>26</v>
      </c>
    </row>
    <row r="8" spans="1:7" x14ac:dyDescent="0.4">
      <c r="A8" s="2">
        <v>7</v>
      </c>
      <c r="B8" s="2" t="s">
        <v>1253</v>
      </c>
      <c r="C8" s="2" t="s">
        <v>1263</v>
      </c>
      <c r="D8" s="3" t="s">
        <v>539</v>
      </c>
      <c r="E8" s="3" t="s">
        <v>538</v>
      </c>
      <c r="F8" s="2" t="str">
        <f>"0225-25-5555  "</f>
        <v xml:space="preserve">0225-25-5555  </v>
      </c>
      <c r="G8" s="3" t="s">
        <v>26</v>
      </c>
    </row>
    <row r="9" spans="1:7" ht="37.5" x14ac:dyDescent="0.4">
      <c r="A9" s="2">
        <v>8</v>
      </c>
      <c r="B9" s="2" t="s">
        <v>1253</v>
      </c>
      <c r="C9" s="2" t="s">
        <v>1262</v>
      </c>
      <c r="D9" s="3" t="s">
        <v>1261</v>
      </c>
      <c r="E9" s="3" t="str">
        <f>"仙台市青葉区堤通雨宮町8-1WING99　202"</f>
        <v>仙台市青葉区堤通雨宮町8-1WING99　202</v>
      </c>
      <c r="F9" s="2" t="str">
        <f>"022-343-7611  "</f>
        <v xml:space="preserve">022-343-7611  </v>
      </c>
      <c r="G9" s="3" t="s">
        <v>26</v>
      </c>
    </row>
    <row r="10" spans="1:7" ht="37.5" x14ac:dyDescent="0.4">
      <c r="A10" s="2">
        <v>9</v>
      </c>
      <c r="B10" s="2" t="s">
        <v>1253</v>
      </c>
      <c r="C10" s="2" t="s">
        <v>1260</v>
      </c>
      <c r="D10" s="3" t="s">
        <v>1259</v>
      </c>
      <c r="E10" s="3" t="str">
        <f>"白石市旭町一丁目9-27カーサ・セロD棟"</f>
        <v>白石市旭町一丁目9-27カーサ・セロD棟</v>
      </c>
      <c r="F10" s="2" t="str">
        <f>"0224-26-8020  "</f>
        <v xml:space="preserve">0224-26-8020  </v>
      </c>
      <c r="G10" s="3" t="s">
        <v>160</v>
      </c>
    </row>
    <row r="11" spans="1:7" x14ac:dyDescent="0.4">
      <c r="A11" s="2">
        <v>10</v>
      </c>
      <c r="B11" s="2" t="s">
        <v>1253</v>
      </c>
      <c r="C11" s="2" t="s">
        <v>1258</v>
      </c>
      <c r="D11" s="3" t="s">
        <v>1257</v>
      </c>
      <c r="E11" s="3" t="s">
        <v>1256</v>
      </c>
      <c r="F11" s="2" t="str">
        <f>"0224-26-3101  "</f>
        <v xml:space="preserve">0224-26-3101  </v>
      </c>
      <c r="G11" s="3" t="s">
        <v>357</v>
      </c>
    </row>
    <row r="12" spans="1:7" x14ac:dyDescent="0.4">
      <c r="A12" s="2">
        <v>11</v>
      </c>
      <c r="B12" s="2" t="s">
        <v>1253</v>
      </c>
      <c r="C12" s="2" t="s">
        <v>1255</v>
      </c>
      <c r="D12" s="3" t="s">
        <v>1254</v>
      </c>
      <c r="E12" s="3" t="str">
        <f>"名取市増田2－6－11"</f>
        <v>名取市増田2－6－11</v>
      </c>
      <c r="F12" s="2" t="str">
        <f>"022-382-3100  "</f>
        <v xml:space="preserve">022-382-3100  </v>
      </c>
      <c r="G12" s="3" t="s">
        <v>26</v>
      </c>
    </row>
    <row r="13" spans="1:7" ht="37.5" x14ac:dyDescent="0.4">
      <c r="A13" s="2">
        <v>12</v>
      </c>
      <c r="B13" s="2" t="s">
        <v>1253</v>
      </c>
      <c r="C13" s="2" t="s">
        <v>1252</v>
      </c>
      <c r="D13" s="3" t="s">
        <v>24</v>
      </c>
      <c r="E13" s="3" t="s">
        <v>23</v>
      </c>
      <c r="F13" s="2" t="str">
        <f>"0223-37-1131  "</f>
        <v xml:space="preserve">0223-37-1131  </v>
      </c>
      <c r="G13" s="3" t="s">
        <v>22</v>
      </c>
    </row>
    <row r="14" spans="1:7" x14ac:dyDescent="0.4">
      <c r="A14" s="2">
        <v>13</v>
      </c>
      <c r="B14" s="2" t="s">
        <v>992</v>
      </c>
      <c r="C14" s="2" t="s">
        <v>1251</v>
      </c>
      <c r="D14" s="3" t="s">
        <v>1250</v>
      </c>
      <c r="E14" s="3" t="str">
        <f>"伊具郡丸森町字町西６２－１"</f>
        <v>伊具郡丸森町字町西６２－１</v>
      </c>
      <c r="F14" s="2" t="str">
        <f>"0224-72-1351  "</f>
        <v xml:space="preserve">0224-72-1351  </v>
      </c>
      <c r="G14" s="3" t="s">
        <v>365</v>
      </c>
    </row>
    <row r="15" spans="1:7" ht="37.5" x14ac:dyDescent="0.4">
      <c r="A15" s="2">
        <v>14</v>
      </c>
      <c r="B15" s="2" t="s">
        <v>992</v>
      </c>
      <c r="C15" s="2" t="s">
        <v>1249</v>
      </c>
      <c r="D15" s="3" t="s">
        <v>1248</v>
      </c>
      <c r="E15" s="3" t="s">
        <v>1247</v>
      </c>
      <c r="F15" s="2" t="str">
        <f>"0229-25-4710  "</f>
        <v xml:space="preserve">0229-25-4710  </v>
      </c>
      <c r="G15" s="3" t="s">
        <v>1246</v>
      </c>
    </row>
    <row r="16" spans="1:7" x14ac:dyDescent="0.4">
      <c r="A16" s="2">
        <v>15</v>
      </c>
      <c r="B16" s="2" t="s">
        <v>992</v>
      </c>
      <c r="C16" s="2" t="s">
        <v>1245</v>
      </c>
      <c r="D16" s="3" t="s">
        <v>1244</v>
      </c>
      <c r="E16" s="3" t="s">
        <v>1243</v>
      </c>
      <c r="F16" s="2" t="str">
        <f>"0229-32-4866  "</f>
        <v xml:space="preserve">0229-32-4866  </v>
      </c>
      <c r="G16" s="3" t="s">
        <v>26</v>
      </c>
    </row>
    <row r="17" spans="1:7" x14ac:dyDescent="0.4">
      <c r="A17" s="2">
        <v>16</v>
      </c>
      <c r="B17" s="2" t="s">
        <v>992</v>
      </c>
      <c r="C17" s="2" t="s">
        <v>1242</v>
      </c>
      <c r="D17" s="3" t="s">
        <v>1241</v>
      </c>
      <c r="E17" s="3" t="s">
        <v>1240</v>
      </c>
      <c r="F17" s="2" t="str">
        <f>"0229-32-2770  "</f>
        <v xml:space="preserve">0229-32-2770  </v>
      </c>
      <c r="G17" s="3" t="s">
        <v>26</v>
      </c>
    </row>
    <row r="18" spans="1:7" x14ac:dyDescent="0.4">
      <c r="A18" s="2">
        <v>17</v>
      </c>
      <c r="B18" s="2" t="s">
        <v>992</v>
      </c>
      <c r="C18" s="2" t="s">
        <v>1239</v>
      </c>
      <c r="D18" s="3" t="s">
        <v>975</v>
      </c>
      <c r="E18" s="3" t="s">
        <v>974</v>
      </c>
      <c r="F18" s="2" t="str">
        <f>"0229-58-1234  "</f>
        <v xml:space="preserve">0229-58-1234  </v>
      </c>
      <c r="G18" s="3" t="s">
        <v>26</v>
      </c>
    </row>
    <row r="19" spans="1:7" ht="37.5" x14ac:dyDescent="0.4">
      <c r="A19" s="2">
        <v>18</v>
      </c>
      <c r="B19" s="2" t="s">
        <v>992</v>
      </c>
      <c r="C19" s="2" t="s">
        <v>1238</v>
      </c>
      <c r="D19" s="3" t="s">
        <v>1237</v>
      </c>
      <c r="E19" s="3" t="str">
        <f>"塩竈市清水沢４－３７－２０"</f>
        <v>塩竈市清水沢４－３７－２０</v>
      </c>
      <c r="F19" s="2" t="str">
        <f>"022-361-8201  "</f>
        <v xml:space="preserve">022-361-8201  </v>
      </c>
      <c r="G19" s="3" t="s">
        <v>1236</v>
      </c>
    </row>
    <row r="20" spans="1:7" x14ac:dyDescent="0.4">
      <c r="A20" s="2">
        <v>19</v>
      </c>
      <c r="B20" s="2" t="s">
        <v>992</v>
      </c>
      <c r="C20" s="2" t="s">
        <v>1235</v>
      </c>
      <c r="D20" s="3" t="s">
        <v>1234</v>
      </c>
      <c r="E20" s="3" t="str">
        <f>"塩竈市泉沢町２２－１０－１Ｆ"</f>
        <v>塩竈市泉沢町２２－１０－１Ｆ</v>
      </c>
      <c r="F20" s="2" t="str">
        <f>"022-365-2238  "</f>
        <v xml:space="preserve">022-365-2238  </v>
      </c>
      <c r="G20" s="3" t="s">
        <v>1233</v>
      </c>
    </row>
    <row r="21" spans="1:7" ht="37.5" x14ac:dyDescent="0.4">
      <c r="A21" s="2">
        <v>20</v>
      </c>
      <c r="B21" s="2" t="s">
        <v>992</v>
      </c>
      <c r="C21" s="2" t="s">
        <v>1232</v>
      </c>
      <c r="D21" s="3" t="s">
        <v>1231</v>
      </c>
      <c r="E21" s="3" t="str">
        <f>"塩竈市南錦町８－１０"</f>
        <v>塩竈市南錦町８－１０</v>
      </c>
      <c r="F21" s="2" t="str">
        <f>"022-361-0211  "</f>
        <v xml:space="preserve">022-361-0211  </v>
      </c>
      <c r="G21" s="3" t="s">
        <v>41</v>
      </c>
    </row>
    <row r="22" spans="1:7" x14ac:dyDescent="0.4">
      <c r="A22" s="2">
        <v>21</v>
      </c>
      <c r="B22" s="2" t="s">
        <v>992</v>
      </c>
      <c r="C22" s="2" t="s">
        <v>1230</v>
      </c>
      <c r="D22" s="3" t="s">
        <v>1229</v>
      </c>
      <c r="E22" s="3" t="str">
        <f>"加美郡加美町宮崎字屋敷五番２１－２"</f>
        <v>加美郡加美町宮崎字屋敷五番２１－２</v>
      </c>
      <c r="F22" s="2" t="str">
        <f>"0229-68-2121  "</f>
        <v xml:space="preserve">0229-68-2121  </v>
      </c>
      <c r="G22" s="3" t="s">
        <v>416</v>
      </c>
    </row>
    <row r="23" spans="1:7" x14ac:dyDescent="0.4">
      <c r="A23" s="2">
        <v>22</v>
      </c>
      <c r="B23" s="2" t="s">
        <v>992</v>
      </c>
      <c r="C23" s="2" t="s">
        <v>1228</v>
      </c>
      <c r="D23" s="3" t="s">
        <v>1227</v>
      </c>
      <c r="E23" s="3" t="s">
        <v>1226</v>
      </c>
      <c r="F23" s="2" t="str">
        <f>"0229-63-3056  "</f>
        <v xml:space="preserve">0229-63-3056  </v>
      </c>
      <c r="G23" s="3" t="s">
        <v>26</v>
      </c>
    </row>
    <row r="24" spans="1:7" x14ac:dyDescent="0.4">
      <c r="A24" s="2">
        <v>23</v>
      </c>
      <c r="B24" s="2" t="s">
        <v>992</v>
      </c>
      <c r="C24" s="2" t="s">
        <v>1225</v>
      </c>
      <c r="D24" s="3" t="s">
        <v>871</v>
      </c>
      <c r="E24" s="3" t="s">
        <v>1224</v>
      </c>
      <c r="F24" s="2" t="str">
        <f>"0224-63-2003  "</f>
        <v xml:space="preserve">0224-63-2003  </v>
      </c>
      <c r="G24" s="3" t="s">
        <v>115</v>
      </c>
    </row>
    <row r="25" spans="1:7" x14ac:dyDescent="0.4">
      <c r="A25" s="2">
        <v>24</v>
      </c>
      <c r="B25" s="2" t="s">
        <v>992</v>
      </c>
      <c r="C25" s="2" t="s">
        <v>1223</v>
      </c>
      <c r="D25" s="3" t="s">
        <v>865</v>
      </c>
      <c r="E25" s="3" t="s">
        <v>864</v>
      </c>
      <c r="F25" s="2" t="str">
        <f>"0224-63-1032  "</f>
        <v xml:space="preserve">0224-63-1032  </v>
      </c>
      <c r="G25" s="3" t="s">
        <v>18</v>
      </c>
    </row>
    <row r="26" spans="1:7" x14ac:dyDescent="0.4">
      <c r="A26" s="2">
        <v>25</v>
      </c>
      <c r="B26" s="2" t="s">
        <v>992</v>
      </c>
      <c r="C26" s="2" t="s">
        <v>1222</v>
      </c>
      <c r="D26" s="3" t="s">
        <v>865</v>
      </c>
      <c r="E26" s="3" t="s">
        <v>864</v>
      </c>
      <c r="F26" s="2" t="str">
        <f>"0224-63-1032  "</f>
        <v xml:space="preserve">0224-63-1032  </v>
      </c>
      <c r="G26" s="3" t="s">
        <v>26</v>
      </c>
    </row>
    <row r="27" spans="1:7" x14ac:dyDescent="0.4">
      <c r="A27" s="2">
        <v>26</v>
      </c>
      <c r="B27" s="2" t="s">
        <v>992</v>
      </c>
      <c r="C27" s="2" t="s">
        <v>1221</v>
      </c>
      <c r="D27" s="3" t="s">
        <v>865</v>
      </c>
      <c r="E27" s="3" t="s">
        <v>864</v>
      </c>
      <c r="F27" s="2" t="str">
        <f>"0224-63-1032  "</f>
        <v xml:space="preserve">0224-63-1032  </v>
      </c>
      <c r="G27" s="3" t="s">
        <v>465</v>
      </c>
    </row>
    <row r="28" spans="1:7" x14ac:dyDescent="0.4">
      <c r="A28" s="2">
        <v>27</v>
      </c>
      <c r="B28" s="2" t="s">
        <v>992</v>
      </c>
      <c r="C28" s="2" t="s">
        <v>1220</v>
      </c>
      <c r="D28" s="3" t="s">
        <v>1219</v>
      </c>
      <c r="E28" s="3" t="s">
        <v>1218</v>
      </c>
      <c r="F28" s="2" t="str">
        <f>"0224-37-2155  "</f>
        <v xml:space="preserve">0224-37-2155  </v>
      </c>
      <c r="G28" s="3" t="s">
        <v>1038</v>
      </c>
    </row>
    <row r="29" spans="1:7" ht="37.5" x14ac:dyDescent="0.4">
      <c r="A29" s="2">
        <v>28</v>
      </c>
      <c r="B29" s="2" t="s">
        <v>992</v>
      </c>
      <c r="C29" s="2" t="s">
        <v>1217</v>
      </c>
      <c r="D29" s="3" t="s">
        <v>1216</v>
      </c>
      <c r="E29" s="3" t="s">
        <v>1215</v>
      </c>
      <c r="F29" s="2" t="str">
        <f>"0224-32-2101  "</f>
        <v xml:space="preserve">0224-32-2101  </v>
      </c>
      <c r="G29" s="3" t="s">
        <v>1214</v>
      </c>
    </row>
    <row r="30" spans="1:7" x14ac:dyDescent="0.4">
      <c r="A30" s="2">
        <v>29</v>
      </c>
      <c r="B30" s="2" t="s">
        <v>992</v>
      </c>
      <c r="C30" s="2" t="s">
        <v>1213</v>
      </c>
      <c r="D30" s="3" t="s">
        <v>1212</v>
      </c>
      <c r="E30" s="3" t="str">
        <f>"岩沼市たけくま２－４－１７"</f>
        <v>岩沼市たけくま２－４－１７</v>
      </c>
      <c r="F30" s="2" t="str">
        <f>"0223-25-6188  "</f>
        <v xml:space="preserve">0223-25-6188  </v>
      </c>
      <c r="G30" s="3" t="s">
        <v>26</v>
      </c>
    </row>
    <row r="31" spans="1:7" x14ac:dyDescent="0.4">
      <c r="A31" s="2">
        <v>30</v>
      </c>
      <c r="B31" s="2" t="s">
        <v>992</v>
      </c>
      <c r="C31" s="2" t="s">
        <v>1211</v>
      </c>
      <c r="D31" s="3" t="s">
        <v>836</v>
      </c>
      <c r="E31" s="3" t="s">
        <v>835</v>
      </c>
      <c r="F31" s="2" t="str">
        <f>"0223-24-1861  "</f>
        <v xml:space="preserve">0223-24-1861  </v>
      </c>
      <c r="G31" s="3" t="s">
        <v>26</v>
      </c>
    </row>
    <row r="32" spans="1:7" x14ac:dyDescent="0.4">
      <c r="A32" s="2">
        <v>31</v>
      </c>
      <c r="B32" s="2" t="s">
        <v>992</v>
      </c>
      <c r="C32" s="2" t="s">
        <v>1210</v>
      </c>
      <c r="D32" s="3" t="s">
        <v>1209</v>
      </c>
      <c r="E32" s="3" t="str">
        <f>"岩沼市北長谷畑向山南２７－４"</f>
        <v>岩沼市北長谷畑向山南２７－４</v>
      </c>
      <c r="F32" s="2" t="str">
        <f>"0223-24-1211  "</f>
        <v xml:space="preserve">0223-24-1211  </v>
      </c>
      <c r="G32" s="3" t="s">
        <v>1208</v>
      </c>
    </row>
    <row r="33" spans="1:7" ht="37.5" x14ac:dyDescent="0.4">
      <c r="A33" s="2">
        <v>32</v>
      </c>
      <c r="B33" s="2" t="s">
        <v>992</v>
      </c>
      <c r="C33" s="2" t="s">
        <v>1207</v>
      </c>
      <c r="D33" s="3" t="s">
        <v>1206</v>
      </c>
      <c r="E33" s="3" t="str">
        <f>"岩沼市里の杜　１－２－５"</f>
        <v>岩沼市里の杜　１－２－５</v>
      </c>
      <c r="F33" s="2" t="str">
        <f>"0223-23-3151  "</f>
        <v xml:space="preserve">0223-23-3151  </v>
      </c>
      <c r="G33" s="3" t="s">
        <v>79</v>
      </c>
    </row>
    <row r="34" spans="1:7" ht="37.5" x14ac:dyDescent="0.4">
      <c r="A34" s="2">
        <v>33</v>
      </c>
      <c r="B34" s="2" t="s">
        <v>992</v>
      </c>
      <c r="C34" s="2" t="s">
        <v>1205</v>
      </c>
      <c r="D34" s="3" t="s">
        <v>778</v>
      </c>
      <c r="E34" s="3" t="str">
        <f>"気仙沼市赤岩杉ノ沢８－２"</f>
        <v>気仙沼市赤岩杉ノ沢８－２</v>
      </c>
      <c r="F34" s="2" t="str">
        <f>"0226-22-7100  "</f>
        <v xml:space="preserve">0226-22-7100  </v>
      </c>
      <c r="G34" s="3" t="s">
        <v>761</v>
      </c>
    </row>
    <row r="35" spans="1:7" x14ac:dyDescent="0.4">
      <c r="A35" s="2">
        <v>34</v>
      </c>
      <c r="B35" s="2" t="s">
        <v>992</v>
      </c>
      <c r="C35" s="2" t="s">
        <v>1204</v>
      </c>
      <c r="D35" s="3" t="s">
        <v>778</v>
      </c>
      <c r="E35" s="3" t="str">
        <f>"気仙沼市赤岩杉ノ沢８－２"</f>
        <v>気仙沼市赤岩杉ノ沢８－２</v>
      </c>
      <c r="F35" s="2" t="str">
        <f>"0226-22-7100  "</f>
        <v xml:space="preserve">0226-22-7100  </v>
      </c>
      <c r="G35" s="3" t="s">
        <v>82</v>
      </c>
    </row>
    <row r="36" spans="1:7" x14ac:dyDescent="0.4">
      <c r="A36" s="2">
        <v>35</v>
      </c>
      <c r="B36" s="2" t="s">
        <v>992</v>
      </c>
      <c r="C36" s="2" t="s">
        <v>1203</v>
      </c>
      <c r="D36" s="3" t="s">
        <v>778</v>
      </c>
      <c r="E36" s="3" t="str">
        <f>"気仙沼市赤岩杉ノ沢８－２"</f>
        <v>気仙沼市赤岩杉ノ沢８－２</v>
      </c>
      <c r="F36" s="2" t="str">
        <f>"0226-22-7100  "</f>
        <v xml:space="preserve">0226-22-7100  </v>
      </c>
      <c r="G36" s="3" t="s">
        <v>18</v>
      </c>
    </row>
    <row r="37" spans="1:7" ht="37.5" x14ac:dyDescent="0.4">
      <c r="A37" s="2">
        <v>36</v>
      </c>
      <c r="B37" s="2" t="s">
        <v>992</v>
      </c>
      <c r="C37" s="2" t="s">
        <v>1202</v>
      </c>
      <c r="D37" s="3" t="s">
        <v>1201</v>
      </c>
      <c r="E37" s="3" t="str">
        <f>"気仙沼市田中前四丁目４－７"</f>
        <v>気仙沼市田中前四丁目４－７</v>
      </c>
      <c r="F37" s="2" t="str">
        <f>"0226-23-3990  "</f>
        <v xml:space="preserve">0226-23-3990  </v>
      </c>
      <c r="G37" s="3" t="s">
        <v>1200</v>
      </c>
    </row>
    <row r="38" spans="1:7" x14ac:dyDescent="0.4">
      <c r="A38" s="2">
        <v>37</v>
      </c>
      <c r="B38" s="2" t="s">
        <v>992</v>
      </c>
      <c r="C38" s="2" t="s">
        <v>1199</v>
      </c>
      <c r="D38" s="3" t="s">
        <v>1198</v>
      </c>
      <c r="E38" s="3" t="str">
        <f>"気仙沼市東新城２－９－１"</f>
        <v>気仙沼市東新城２－９－１</v>
      </c>
      <c r="F38" s="2" t="str">
        <f>"0226-21-1160  "</f>
        <v xml:space="preserve">0226-21-1160  </v>
      </c>
      <c r="G38" s="3" t="s">
        <v>1197</v>
      </c>
    </row>
    <row r="39" spans="1:7" x14ac:dyDescent="0.4">
      <c r="A39" s="2">
        <v>38</v>
      </c>
      <c r="B39" s="2" t="s">
        <v>992</v>
      </c>
      <c r="C39" s="2" t="s">
        <v>1196</v>
      </c>
      <c r="D39" s="3" t="s">
        <v>1195</v>
      </c>
      <c r="E39" s="3" t="str">
        <f>"気仙沼市内の脇1丁目6－15－1"</f>
        <v>気仙沼市内の脇1丁目6－15－1</v>
      </c>
      <c r="F39" s="2" t="str">
        <f>"0226-25-7412  "</f>
        <v xml:space="preserve">0226-25-7412  </v>
      </c>
      <c r="G39" s="3" t="s">
        <v>41</v>
      </c>
    </row>
    <row r="40" spans="1:7" x14ac:dyDescent="0.4">
      <c r="A40" s="2">
        <v>39</v>
      </c>
      <c r="B40" s="2" t="s">
        <v>992</v>
      </c>
      <c r="C40" s="2" t="s">
        <v>1194</v>
      </c>
      <c r="D40" s="3" t="s">
        <v>763</v>
      </c>
      <c r="E40" s="3" t="s">
        <v>762</v>
      </c>
      <c r="F40" s="2" t="str">
        <f>"0226-42-2621  "</f>
        <v xml:space="preserve">0226-42-2621  </v>
      </c>
      <c r="G40" s="3" t="s">
        <v>26</v>
      </c>
    </row>
    <row r="41" spans="1:7" x14ac:dyDescent="0.4">
      <c r="A41" s="2">
        <v>40</v>
      </c>
      <c r="B41" s="2" t="s">
        <v>992</v>
      </c>
      <c r="C41" s="2" t="s">
        <v>1193</v>
      </c>
      <c r="D41" s="3" t="s">
        <v>1192</v>
      </c>
      <c r="E41" s="3" t="s">
        <v>1191</v>
      </c>
      <c r="F41" s="2" t="str">
        <f>"0228-54-2311  "</f>
        <v xml:space="preserve">0228-54-2311  </v>
      </c>
      <c r="G41" s="3" t="s">
        <v>26</v>
      </c>
    </row>
    <row r="42" spans="1:7" x14ac:dyDescent="0.4">
      <c r="A42" s="2">
        <v>41</v>
      </c>
      <c r="B42" s="2" t="s">
        <v>992</v>
      </c>
      <c r="C42" s="2" t="s">
        <v>1190</v>
      </c>
      <c r="D42" s="3" t="s">
        <v>1186</v>
      </c>
      <c r="E42" s="3" t="s">
        <v>1188</v>
      </c>
      <c r="F42" s="2" t="str">
        <f>"0228-45-2211  "</f>
        <v xml:space="preserve">0228-45-2211  </v>
      </c>
      <c r="G42" s="3" t="s">
        <v>365</v>
      </c>
    </row>
    <row r="43" spans="1:7" x14ac:dyDescent="0.4">
      <c r="A43" s="2">
        <v>42</v>
      </c>
      <c r="B43" s="2" t="s">
        <v>992</v>
      </c>
      <c r="C43" s="2" t="s">
        <v>1189</v>
      </c>
      <c r="D43" s="3" t="s">
        <v>1186</v>
      </c>
      <c r="E43" s="3" t="s">
        <v>1188</v>
      </c>
      <c r="F43" s="2" t="str">
        <f>"0228-45-2211  "</f>
        <v xml:space="preserve">0228-45-2211  </v>
      </c>
      <c r="G43" s="3" t="s">
        <v>365</v>
      </c>
    </row>
    <row r="44" spans="1:7" x14ac:dyDescent="0.4">
      <c r="A44" s="2">
        <v>43</v>
      </c>
      <c r="B44" s="2" t="s">
        <v>992</v>
      </c>
      <c r="C44" s="2" t="s">
        <v>1187</v>
      </c>
      <c r="D44" s="3" t="s">
        <v>1186</v>
      </c>
      <c r="E44" s="3" t="str">
        <f>"栗原市栗駒松木田１０－１"</f>
        <v>栗原市栗駒松木田１０－１</v>
      </c>
      <c r="F44" s="2" t="str">
        <f>"0228-45-2211  "</f>
        <v xml:space="preserve">0228-45-2211  </v>
      </c>
      <c r="G44" s="3" t="s">
        <v>26</v>
      </c>
    </row>
    <row r="45" spans="1:7" x14ac:dyDescent="0.4">
      <c r="A45" s="2">
        <v>44</v>
      </c>
      <c r="B45" s="2" t="s">
        <v>992</v>
      </c>
      <c r="C45" s="2" t="s">
        <v>1185</v>
      </c>
      <c r="D45" s="3" t="s">
        <v>1184</v>
      </c>
      <c r="E45" s="3" t="s">
        <v>1183</v>
      </c>
      <c r="F45" s="2" t="str">
        <f>"0228-32-6633  "</f>
        <v xml:space="preserve">0228-32-6633  </v>
      </c>
      <c r="G45" s="3" t="s">
        <v>160</v>
      </c>
    </row>
    <row r="46" spans="1:7" x14ac:dyDescent="0.4">
      <c r="A46" s="2">
        <v>45</v>
      </c>
      <c r="B46" s="2" t="s">
        <v>992</v>
      </c>
      <c r="C46" s="2" t="s">
        <v>1182</v>
      </c>
      <c r="D46" s="3" t="s">
        <v>689</v>
      </c>
      <c r="E46" s="3" t="str">
        <f>"栗原市若柳字川北原畑　２３－４"</f>
        <v>栗原市若柳字川北原畑　２３－４</v>
      </c>
      <c r="F46" s="2" t="str">
        <f>"0228-32-2335  "</f>
        <v xml:space="preserve">0228-32-2335  </v>
      </c>
      <c r="G46" s="3" t="s">
        <v>26</v>
      </c>
    </row>
    <row r="47" spans="1:7" x14ac:dyDescent="0.4">
      <c r="A47" s="2">
        <v>46</v>
      </c>
      <c r="B47" s="2" t="s">
        <v>992</v>
      </c>
      <c r="C47" s="2" t="s">
        <v>1181</v>
      </c>
      <c r="D47" s="3" t="s">
        <v>686</v>
      </c>
      <c r="E47" s="3" t="s">
        <v>685</v>
      </c>
      <c r="F47" s="2" t="str">
        <f>"0228-32-2583  "</f>
        <v xml:space="preserve">0228-32-2583  </v>
      </c>
      <c r="G47" s="3" t="s">
        <v>1180</v>
      </c>
    </row>
    <row r="48" spans="1:7" x14ac:dyDescent="0.4">
      <c r="A48" s="2">
        <v>47</v>
      </c>
      <c r="B48" s="2" t="s">
        <v>992</v>
      </c>
      <c r="C48" s="2" t="s">
        <v>1179</v>
      </c>
      <c r="D48" s="3" t="s">
        <v>1178</v>
      </c>
      <c r="E48" s="3" t="str">
        <f>"栗原市瀬峰下田170－3"</f>
        <v>栗原市瀬峰下田170－3</v>
      </c>
      <c r="F48" s="2" t="str">
        <f>"0228-59-2005  "</f>
        <v xml:space="preserve">0228-59-2005  </v>
      </c>
      <c r="G48" s="3" t="s">
        <v>1177</v>
      </c>
    </row>
    <row r="49" spans="1:7" x14ac:dyDescent="0.4">
      <c r="A49" s="2">
        <v>48</v>
      </c>
      <c r="B49" s="2" t="s">
        <v>992</v>
      </c>
      <c r="C49" s="2" t="s">
        <v>1176</v>
      </c>
      <c r="D49" s="3" t="s">
        <v>1175</v>
      </c>
      <c r="E49" s="3" t="str">
        <f>"栗原市築館薬師４丁目３－３０"</f>
        <v>栗原市築館薬師４丁目３－３０</v>
      </c>
      <c r="F49" s="2" t="str">
        <f>"0228-22-2655  "</f>
        <v xml:space="preserve">0228-22-2655  </v>
      </c>
      <c r="G49" s="3" t="s">
        <v>26</v>
      </c>
    </row>
    <row r="50" spans="1:7" x14ac:dyDescent="0.4">
      <c r="A50" s="2">
        <v>49</v>
      </c>
      <c r="B50" s="2" t="s">
        <v>992</v>
      </c>
      <c r="C50" s="2" t="s">
        <v>1174</v>
      </c>
      <c r="D50" s="3" t="s">
        <v>664</v>
      </c>
      <c r="E50" s="3" t="str">
        <f>"黒川郡大郷町羽生字中ノ町11-1"</f>
        <v>黒川郡大郷町羽生字中ノ町11-1</v>
      </c>
      <c r="F50" s="2" t="str">
        <f>"0225-21-7220  "</f>
        <v xml:space="preserve">0225-21-7220  </v>
      </c>
      <c r="G50" s="3" t="s">
        <v>663</v>
      </c>
    </row>
    <row r="51" spans="1:7" ht="56.25" x14ac:dyDescent="0.4">
      <c r="A51" s="2">
        <v>50</v>
      </c>
      <c r="B51" s="2" t="s">
        <v>992</v>
      </c>
      <c r="C51" s="2" t="s">
        <v>1173</v>
      </c>
      <c r="D51" s="3" t="s">
        <v>654</v>
      </c>
      <c r="E51" s="3" t="str">
        <f>"黒川郡大和町吉岡まほろば1-5-4"</f>
        <v>黒川郡大和町吉岡まほろば1-5-4</v>
      </c>
      <c r="F51" s="2" t="str">
        <f>"022-345-9901  "</f>
        <v xml:space="preserve">022-345-9901  </v>
      </c>
      <c r="G51" s="3" t="s">
        <v>1171</v>
      </c>
    </row>
    <row r="52" spans="1:7" ht="56.25" x14ac:dyDescent="0.4">
      <c r="A52" s="2">
        <v>51</v>
      </c>
      <c r="B52" s="2" t="s">
        <v>992</v>
      </c>
      <c r="C52" s="2" t="s">
        <v>1172</v>
      </c>
      <c r="D52" s="3" t="s">
        <v>654</v>
      </c>
      <c r="E52" s="3" t="str">
        <f>"黒川郡大和町吉岡まほろば1-5-4"</f>
        <v>黒川郡大和町吉岡まほろば1-5-4</v>
      </c>
      <c r="F52" s="2" t="str">
        <f>"022-345-9901  "</f>
        <v xml:space="preserve">022-345-9901  </v>
      </c>
      <c r="G52" s="3" t="s">
        <v>1171</v>
      </c>
    </row>
    <row r="53" spans="1:7" x14ac:dyDescent="0.4">
      <c r="A53" s="2">
        <v>52</v>
      </c>
      <c r="B53" s="2" t="s">
        <v>992</v>
      </c>
      <c r="C53" s="2" t="s">
        <v>1170</v>
      </c>
      <c r="D53" s="3" t="s">
        <v>1169</v>
      </c>
      <c r="E53" s="3" t="s">
        <v>1168</v>
      </c>
      <c r="F53" s="2" t="str">
        <f>"022-345-2630  "</f>
        <v xml:space="preserve">022-345-2630  </v>
      </c>
      <c r="G53" s="3" t="s">
        <v>26</v>
      </c>
    </row>
    <row r="54" spans="1:7" x14ac:dyDescent="0.4">
      <c r="A54" s="2">
        <v>53</v>
      </c>
      <c r="B54" s="2" t="s">
        <v>992</v>
      </c>
      <c r="C54" s="2" t="s">
        <v>1167</v>
      </c>
      <c r="D54" s="3" t="s">
        <v>643</v>
      </c>
      <c r="E54" s="3" t="s">
        <v>646</v>
      </c>
      <c r="F54" s="2" t="str">
        <f>"022-345-3101  "</f>
        <v xml:space="preserve">022-345-3101  </v>
      </c>
      <c r="G54" s="3" t="s">
        <v>26</v>
      </c>
    </row>
    <row r="55" spans="1:7" x14ac:dyDescent="0.4">
      <c r="A55" s="2">
        <v>54</v>
      </c>
      <c r="B55" s="2" t="s">
        <v>992</v>
      </c>
      <c r="C55" s="2" t="s">
        <v>1166</v>
      </c>
      <c r="D55" s="3" t="s">
        <v>643</v>
      </c>
      <c r="E55" s="3" t="s">
        <v>646</v>
      </c>
      <c r="F55" s="2" t="str">
        <f>"022-345-3101  "</f>
        <v xml:space="preserve">022-345-3101  </v>
      </c>
      <c r="G55" s="3" t="s">
        <v>26</v>
      </c>
    </row>
    <row r="56" spans="1:7" ht="37.5" x14ac:dyDescent="0.4">
      <c r="A56" s="2">
        <v>55</v>
      </c>
      <c r="B56" s="2" t="s">
        <v>992</v>
      </c>
      <c r="C56" s="2" t="s">
        <v>1165</v>
      </c>
      <c r="D56" s="3" t="s">
        <v>1164</v>
      </c>
      <c r="E56" s="3" t="str">
        <f>"柴田郡柴田町槻木下町３－１－２０"</f>
        <v>柴田郡柴田町槻木下町３－１－２０</v>
      </c>
      <c r="F56" s="2" t="str">
        <f>"0224-56-1451  "</f>
        <v xml:space="preserve">0224-56-1451  </v>
      </c>
      <c r="G56" s="3" t="s">
        <v>1163</v>
      </c>
    </row>
    <row r="57" spans="1:7" x14ac:dyDescent="0.4">
      <c r="A57" s="2">
        <v>56</v>
      </c>
      <c r="B57" s="2" t="s">
        <v>992</v>
      </c>
      <c r="C57" s="2" t="s">
        <v>1162</v>
      </c>
      <c r="D57" s="3" t="s">
        <v>1161</v>
      </c>
      <c r="E57" s="3" t="s">
        <v>1160</v>
      </c>
      <c r="F57" s="2" t="str">
        <f>"0224-85-2333  "</f>
        <v xml:space="preserve">0224-85-2333  </v>
      </c>
      <c r="G57" s="3" t="s">
        <v>1159</v>
      </c>
    </row>
    <row r="58" spans="1:7" ht="37.5" x14ac:dyDescent="0.4">
      <c r="A58" s="2">
        <v>57</v>
      </c>
      <c r="B58" s="2" t="s">
        <v>992</v>
      </c>
      <c r="C58" s="2" t="s">
        <v>1158</v>
      </c>
      <c r="D58" s="3" t="s">
        <v>615</v>
      </c>
      <c r="E58" s="3" t="s">
        <v>1157</v>
      </c>
      <c r="F58" s="2" t="str">
        <f>"0224-85-2333  "</f>
        <v xml:space="preserve">0224-85-2333  </v>
      </c>
      <c r="G58" s="3" t="s">
        <v>613</v>
      </c>
    </row>
    <row r="59" spans="1:7" x14ac:dyDescent="0.4">
      <c r="A59" s="2">
        <v>58</v>
      </c>
      <c r="B59" s="2" t="s">
        <v>992</v>
      </c>
      <c r="C59" s="2" t="s">
        <v>1156</v>
      </c>
      <c r="D59" s="3" t="s">
        <v>1155</v>
      </c>
      <c r="E59" s="3" t="str">
        <f>"柴田郡川崎町大字前川字北原23－1"</f>
        <v>柴田郡川崎町大字前川字北原23－1</v>
      </c>
      <c r="F59" s="2" t="str">
        <f>"0224-84-2119  "</f>
        <v xml:space="preserve">0224-84-2119  </v>
      </c>
      <c r="G59" s="3" t="s">
        <v>26</v>
      </c>
    </row>
    <row r="60" spans="1:7" x14ac:dyDescent="0.4">
      <c r="A60" s="2">
        <v>59</v>
      </c>
      <c r="B60" s="2" t="s">
        <v>992</v>
      </c>
      <c r="C60" s="2" t="s">
        <v>1154</v>
      </c>
      <c r="D60" s="3" t="s">
        <v>573</v>
      </c>
      <c r="E60" s="3" t="str">
        <f>"柴田郡大河原町字西３８－１"</f>
        <v>柴田郡大河原町字西３８－１</v>
      </c>
      <c r="F60" s="2" t="str">
        <f>"0224-51-5500  "</f>
        <v xml:space="preserve">0224-51-5500  </v>
      </c>
      <c r="G60" s="3" t="s">
        <v>1153</v>
      </c>
    </row>
    <row r="61" spans="1:7" x14ac:dyDescent="0.4">
      <c r="A61" s="2">
        <v>60</v>
      </c>
      <c r="B61" s="2" t="s">
        <v>992</v>
      </c>
      <c r="C61" s="2" t="s">
        <v>1152</v>
      </c>
      <c r="D61" s="3" t="s">
        <v>573</v>
      </c>
      <c r="E61" s="3" t="str">
        <f>"柴田郡大河原町字西３８－１"</f>
        <v>柴田郡大河原町字西３８－１</v>
      </c>
      <c r="F61" s="2" t="str">
        <f>"0224-51-5500  "</f>
        <v xml:space="preserve">0224-51-5500  </v>
      </c>
      <c r="G61" s="3" t="s">
        <v>53</v>
      </c>
    </row>
    <row r="62" spans="1:7" x14ac:dyDescent="0.4">
      <c r="A62" s="2">
        <v>61</v>
      </c>
      <c r="B62" s="2" t="s">
        <v>992</v>
      </c>
      <c r="C62" s="2" t="s">
        <v>1151</v>
      </c>
      <c r="D62" s="3" t="s">
        <v>1150</v>
      </c>
      <c r="E62" s="3" t="str">
        <f>"柴田郡大河原町西町８０－３"</f>
        <v>柴田郡大河原町西町８０－３</v>
      </c>
      <c r="F62" s="2" t="str">
        <f>"0224-53-1113  "</f>
        <v xml:space="preserve">0224-53-1113  </v>
      </c>
      <c r="G62" s="3" t="s">
        <v>5</v>
      </c>
    </row>
    <row r="63" spans="1:7" ht="37.5" x14ac:dyDescent="0.4">
      <c r="A63" s="2">
        <v>62</v>
      </c>
      <c r="B63" s="2" t="s">
        <v>992</v>
      </c>
      <c r="C63" s="2" t="s">
        <v>1149</v>
      </c>
      <c r="D63" s="3" t="s">
        <v>568</v>
      </c>
      <c r="E63" s="3" t="str">
        <f>"柴田郡大河原町東新町１０－７"</f>
        <v>柴田郡大河原町東新町１０－７</v>
      </c>
      <c r="F63" s="2" t="str">
        <f>"0224-52-3115  "</f>
        <v xml:space="preserve">0224-52-3115  </v>
      </c>
      <c r="G63" s="3" t="s">
        <v>1148</v>
      </c>
    </row>
    <row r="64" spans="1:7" ht="37.5" x14ac:dyDescent="0.4">
      <c r="A64" s="2">
        <v>63</v>
      </c>
      <c r="B64" s="2" t="s">
        <v>992</v>
      </c>
      <c r="C64" s="2" t="s">
        <v>1147</v>
      </c>
      <c r="D64" s="3" t="s">
        <v>1146</v>
      </c>
      <c r="E64" s="3" t="s">
        <v>1145</v>
      </c>
      <c r="F64" s="2" t="str">
        <f>"050-3777-2177 "</f>
        <v xml:space="preserve">050-3777-2177 </v>
      </c>
      <c r="G64" s="3" t="s">
        <v>26</v>
      </c>
    </row>
    <row r="65" spans="1:7" x14ac:dyDescent="0.4">
      <c r="A65" s="2">
        <v>64</v>
      </c>
      <c r="B65" s="2" t="s">
        <v>992</v>
      </c>
      <c r="C65" s="2" t="s">
        <v>1144</v>
      </c>
      <c r="D65" s="3" t="s">
        <v>1142</v>
      </c>
      <c r="E65" s="3" t="s">
        <v>1141</v>
      </c>
      <c r="F65" s="2" t="str">
        <f>"0225-22-3020  "</f>
        <v xml:space="preserve">0225-22-3020  </v>
      </c>
      <c r="G65" s="3" t="s">
        <v>26</v>
      </c>
    </row>
    <row r="66" spans="1:7" x14ac:dyDescent="0.4">
      <c r="A66" s="2">
        <v>65</v>
      </c>
      <c r="B66" s="2" t="s">
        <v>992</v>
      </c>
      <c r="C66" s="2" t="s">
        <v>1143</v>
      </c>
      <c r="D66" s="3" t="s">
        <v>1142</v>
      </c>
      <c r="E66" s="3" t="s">
        <v>1141</v>
      </c>
      <c r="F66" s="2" t="str">
        <f>"0225-22-3020  "</f>
        <v xml:space="preserve">0225-22-3020  </v>
      </c>
      <c r="G66" s="3" t="s">
        <v>1140</v>
      </c>
    </row>
    <row r="67" spans="1:7" ht="37.5" x14ac:dyDescent="0.4">
      <c r="A67" s="2">
        <v>66</v>
      </c>
      <c r="B67" s="2" t="s">
        <v>992</v>
      </c>
      <c r="C67" s="2" t="s">
        <v>1139</v>
      </c>
      <c r="D67" s="3" t="s">
        <v>554</v>
      </c>
      <c r="E67" s="3" t="s">
        <v>553</v>
      </c>
      <c r="F67" s="2" t="str">
        <f>"0225-73-5888  "</f>
        <v xml:space="preserve">0225-73-5888  </v>
      </c>
      <c r="G67" s="3" t="s">
        <v>1138</v>
      </c>
    </row>
    <row r="68" spans="1:7" x14ac:dyDescent="0.4">
      <c r="A68" s="2">
        <v>67</v>
      </c>
      <c r="B68" s="2" t="s">
        <v>992</v>
      </c>
      <c r="C68" s="2" t="s">
        <v>1137</v>
      </c>
      <c r="D68" s="3" t="s">
        <v>539</v>
      </c>
      <c r="E68" s="3" t="str">
        <f>"石巻市穀町１５－１"</f>
        <v>石巻市穀町１５－１</v>
      </c>
      <c r="F68" s="2" t="str">
        <f>"0225-25-5555  "</f>
        <v xml:space="preserve">0225-25-5555  </v>
      </c>
      <c r="G68" s="3" t="s">
        <v>26</v>
      </c>
    </row>
    <row r="69" spans="1:7" x14ac:dyDescent="0.4">
      <c r="A69" s="2">
        <v>68</v>
      </c>
      <c r="B69" s="2" t="s">
        <v>992</v>
      </c>
      <c r="C69" s="2" t="s">
        <v>1136</v>
      </c>
      <c r="D69" s="3" t="s">
        <v>531</v>
      </c>
      <c r="E69" s="3" t="str">
        <f>"石巻市山下町　１－７－２４"</f>
        <v>石巻市山下町　１－７－２４</v>
      </c>
      <c r="F69" s="2" t="str">
        <f>"0225-96-3251  "</f>
        <v xml:space="preserve">0225-96-3251  </v>
      </c>
      <c r="G69" s="3" t="s">
        <v>79</v>
      </c>
    </row>
    <row r="70" spans="1:7" x14ac:dyDescent="0.4">
      <c r="A70" s="2">
        <v>69</v>
      </c>
      <c r="B70" s="2" t="s">
        <v>992</v>
      </c>
      <c r="C70" s="2" t="s">
        <v>1135</v>
      </c>
      <c r="D70" s="3" t="s">
        <v>531</v>
      </c>
      <c r="E70" s="3" t="str">
        <f>"石巻市山下町１－７－２４"</f>
        <v>石巻市山下町１－７－２４</v>
      </c>
      <c r="F70" s="2" t="str">
        <f>"0225-96-3251  "</f>
        <v xml:space="preserve">0225-96-3251  </v>
      </c>
      <c r="G70" s="3" t="s">
        <v>533</v>
      </c>
    </row>
    <row r="71" spans="1:7" x14ac:dyDescent="0.4">
      <c r="A71" s="2">
        <v>70</v>
      </c>
      <c r="B71" s="2" t="s">
        <v>992</v>
      </c>
      <c r="C71" s="2" t="s">
        <v>1134</v>
      </c>
      <c r="D71" s="3" t="s">
        <v>531</v>
      </c>
      <c r="E71" s="3" t="str">
        <f>"石巻市山下町１－７－２４"</f>
        <v>石巻市山下町１－７－２４</v>
      </c>
      <c r="F71" s="2" t="str">
        <f>"0225-96-3251  "</f>
        <v xml:space="preserve">0225-96-3251  </v>
      </c>
      <c r="G71" s="3" t="s">
        <v>79</v>
      </c>
    </row>
    <row r="72" spans="1:7" x14ac:dyDescent="0.4">
      <c r="A72" s="2">
        <v>71</v>
      </c>
      <c r="B72" s="2" t="s">
        <v>992</v>
      </c>
      <c r="C72" s="2" t="s">
        <v>1133</v>
      </c>
      <c r="D72" s="3" t="s">
        <v>531</v>
      </c>
      <c r="E72" s="3" t="str">
        <f>"石巻市山下町１－７－２４"</f>
        <v>石巻市山下町１－７－２４</v>
      </c>
      <c r="F72" s="2" t="str">
        <f>"0225-96-3251  "</f>
        <v xml:space="preserve">0225-96-3251  </v>
      </c>
      <c r="G72" s="3" t="s">
        <v>22</v>
      </c>
    </row>
    <row r="73" spans="1:7" x14ac:dyDescent="0.4">
      <c r="A73" s="2">
        <v>72</v>
      </c>
      <c r="B73" s="2" t="s">
        <v>992</v>
      </c>
      <c r="C73" s="2" t="s">
        <v>1132</v>
      </c>
      <c r="D73" s="3" t="s">
        <v>531</v>
      </c>
      <c r="E73" s="3" t="s">
        <v>1131</v>
      </c>
      <c r="F73" s="2" t="str">
        <f>"0225-96-3251  "</f>
        <v xml:space="preserve">0225-96-3251  </v>
      </c>
      <c r="G73" s="3" t="s">
        <v>533</v>
      </c>
    </row>
    <row r="74" spans="1:7" x14ac:dyDescent="0.4">
      <c r="A74" s="2">
        <v>73</v>
      </c>
      <c r="B74" s="2" t="s">
        <v>992</v>
      </c>
      <c r="C74" s="2" t="s">
        <v>1130</v>
      </c>
      <c r="D74" s="3" t="s">
        <v>1129</v>
      </c>
      <c r="E74" s="3" t="str">
        <f>"石巻市鹿又字伊勢前５３－２"</f>
        <v>石巻市鹿又字伊勢前５３－２</v>
      </c>
      <c r="F74" s="2" t="str">
        <f>"0225-75-2325  "</f>
        <v xml:space="preserve">0225-75-2325  </v>
      </c>
      <c r="G74" s="3" t="s">
        <v>26</v>
      </c>
    </row>
    <row r="75" spans="1:7" x14ac:dyDescent="0.4">
      <c r="A75" s="2">
        <v>74</v>
      </c>
      <c r="B75" s="2" t="s">
        <v>992</v>
      </c>
      <c r="C75" s="2" t="s">
        <v>1128</v>
      </c>
      <c r="D75" s="3" t="s">
        <v>461</v>
      </c>
      <c r="E75" s="3" t="s">
        <v>477</v>
      </c>
      <c r="F75" s="2" t="str">
        <f>"0225-21-7220  "</f>
        <v xml:space="preserve">0225-21-7220  </v>
      </c>
      <c r="G75" s="3" t="s">
        <v>26</v>
      </c>
    </row>
    <row r="76" spans="1:7" x14ac:dyDescent="0.4">
      <c r="A76" s="2">
        <v>75</v>
      </c>
      <c r="B76" s="2" t="s">
        <v>992</v>
      </c>
      <c r="C76" s="2" t="s">
        <v>1127</v>
      </c>
      <c r="D76" s="3" t="s">
        <v>1126</v>
      </c>
      <c r="E76" s="3" t="str">
        <f>"石巻市須江字皮剥１０５－２"</f>
        <v>石巻市須江字皮剥１０５－２</v>
      </c>
      <c r="F76" s="2" t="str">
        <f>"0225-24-6311  "</f>
        <v xml:space="preserve">0225-24-6311  </v>
      </c>
      <c r="G76" s="3" t="s">
        <v>79</v>
      </c>
    </row>
    <row r="77" spans="1:7" x14ac:dyDescent="0.4">
      <c r="A77" s="2">
        <v>76</v>
      </c>
      <c r="B77" s="2" t="s">
        <v>992</v>
      </c>
      <c r="C77" s="2" t="s">
        <v>1125</v>
      </c>
      <c r="D77" s="3" t="s">
        <v>1124</v>
      </c>
      <c r="E77" s="3" t="s">
        <v>1123</v>
      </c>
      <c r="F77" s="2" t="str">
        <f>"0225-62-3221  "</f>
        <v xml:space="preserve">0225-62-3221  </v>
      </c>
      <c r="G77" s="3" t="s">
        <v>160</v>
      </c>
    </row>
    <row r="78" spans="1:7" x14ac:dyDescent="0.4">
      <c r="A78" s="2">
        <v>77</v>
      </c>
      <c r="B78" s="2" t="s">
        <v>992</v>
      </c>
      <c r="C78" s="2" t="s">
        <v>1122</v>
      </c>
      <c r="D78" s="3" t="s">
        <v>448</v>
      </c>
      <c r="E78" s="3" t="str">
        <f>"石巻市大街道西３－３－２７"</f>
        <v>石巻市大街道西３－３－２７</v>
      </c>
      <c r="F78" s="2" t="str">
        <f>"0225-94-9195  "</f>
        <v xml:space="preserve">0225-94-9195  </v>
      </c>
      <c r="G78" s="3" t="s">
        <v>26</v>
      </c>
    </row>
    <row r="79" spans="1:7" ht="37.5" x14ac:dyDescent="0.4">
      <c r="A79" s="2">
        <v>78</v>
      </c>
      <c r="B79" s="2" t="s">
        <v>992</v>
      </c>
      <c r="C79" s="2" t="s">
        <v>1121</v>
      </c>
      <c r="D79" s="3" t="s">
        <v>1119</v>
      </c>
      <c r="E79" s="3" t="str">
        <f>"石巻市中浦１－２－１１１"</f>
        <v>石巻市中浦１－２－１１１</v>
      </c>
      <c r="F79" s="2" t="str">
        <f>"0225-21-7551  "</f>
        <v xml:space="preserve">0225-21-7551  </v>
      </c>
      <c r="G79" s="3" t="s">
        <v>26</v>
      </c>
    </row>
    <row r="80" spans="1:7" ht="37.5" x14ac:dyDescent="0.4">
      <c r="A80" s="2">
        <v>79</v>
      </c>
      <c r="B80" s="2" t="s">
        <v>992</v>
      </c>
      <c r="C80" s="2" t="s">
        <v>1120</v>
      </c>
      <c r="D80" s="3" t="s">
        <v>1119</v>
      </c>
      <c r="E80" s="3" t="str">
        <f>"石巻市中浦１－２－１１１"</f>
        <v>石巻市中浦１－２－１１１</v>
      </c>
      <c r="F80" s="2" t="str">
        <f>"0225-21-7551  "</f>
        <v xml:space="preserve">0225-21-7551  </v>
      </c>
      <c r="G80" s="3" t="s">
        <v>26</v>
      </c>
    </row>
    <row r="81" spans="1:7" x14ac:dyDescent="0.4">
      <c r="A81" s="2">
        <v>80</v>
      </c>
      <c r="B81" s="2" t="s">
        <v>992</v>
      </c>
      <c r="C81" s="2" t="s">
        <v>1118</v>
      </c>
      <c r="D81" s="3" t="s">
        <v>1117</v>
      </c>
      <c r="E81" s="3" t="str">
        <f>"石巻市桃生町中津山字八木167－4"</f>
        <v>石巻市桃生町中津山字八木167－4</v>
      </c>
      <c r="F81" s="2" t="str">
        <f>"0225-76-4024  "</f>
        <v xml:space="preserve">0225-76-4024  </v>
      </c>
      <c r="G81" s="3" t="s">
        <v>26</v>
      </c>
    </row>
    <row r="82" spans="1:7" x14ac:dyDescent="0.4">
      <c r="A82" s="2">
        <v>81</v>
      </c>
      <c r="B82" s="2" t="s">
        <v>992</v>
      </c>
      <c r="C82" s="2" t="s">
        <v>1116</v>
      </c>
      <c r="D82" s="3" t="s">
        <v>1115</v>
      </c>
      <c r="E82" s="3" t="str">
        <f>"石巻市門脇町１－５－１８"</f>
        <v>石巻市門脇町１－５－１８</v>
      </c>
      <c r="F82" s="2" t="str">
        <f>"0225-22-2901  "</f>
        <v xml:space="preserve">0225-22-2901  </v>
      </c>
      <c r="G82" s="3" t="s">
        <v>227</v>
      </c>
    </row>
    <row r="83" spans="1:7" ht="37.5" x14ac:dyDescent="0.4">
      <c r="A83" s="2">
        <v>82</v>
      </c>
      <c r="B83" s="2" t="s">
        <v>992</v>
      </c>
      <c r="C83" s="2" t="s">
        <v>1114</v>
      </c>
      <c r="D83" s="3" t="s">
        <v>1113</v>
      </c>
      <c r="E83" s="3" t="str">
        <f>"仙台市青葉区五橋１－６－２ＫＪビル８Ｆ"</f>
        <v>仙台市青葉区五橋１－６－２ＫＪビル８Ｆ</v>
      </c>
      <c r="F83" s="2" t="str">
        <f>"022-797-0652  "</f>
        <v xml:space="preserve">022-797-0652  </v>
      </c>
      <c r="G83" s="3" t="s">
        <v>26</v>
      </c>
    </row>
    <row r="84" spans="1:7" ht="37.5" x14ac:dyDescent="0.4">
      <c r="A84" s="2">
        <v>83</v>
      </c>
      <c r="B84" s="2" t="s">
        <v>992</v>
      </c>
      <c r="C84" s="2" t="s">
        <v>1112</v>
      </c>
      <c r="D84" s="3" t="s">
        <v>1111</v>
      </c>
      <c r="E84" s="3" t="str">
        <f>"仙台市泉区根白石字行木沢東１－８"</f>
        <v>仙台市泉区根白石字行木沢東１－８</v>
      </c>
      <c r="F84" s="2" t="str">
        <f>"022-341-8285  "</f>
        <v xml:space="preserve">022-341-8285  </v>
      </c>
      <c r="G84" s="3" t="s">
        <v>1110</v>
      </c>
    </row>
    <row r="85" spans="1:7" x14ac:dyDescent="0.4">
      <c r="A85" s="2">
        <v>84</v>
      </c>
      <c r="B85" s="2" t="s">
        <v>992</v>
      </c>
      <c r="C85" s="2" t="s">
        <v>1109</v>
      </c>
      <c r="D85" s="3" t="s">
        <v>1108</v>
      </c>
      <c r="E85" s="3" t="str">
        <f>"多賀城市笠神４－６－１６"</f>
        <v>多賀城市笠神４－６－１６</v>
      </c>
      <c r="F85" s="2" t="str">
        <f>"022-361-8010  "</f>
        <v xml:space="preserve">022-361-8010  </v>
      </c>
      <c r="G85" s="3" t="s">
        <v>927</v>
      </c>
    </row>
    <row r="86" spans="1:7" ht="37.5" x14ac:dyDescent="0.4">
      <c r="A86" s="2">
        <v>85</v>
      </c>
      <c r="B86" s="2" t="s">
        <v>992</v>
      </c>
      <c r="C86" s="2" t="s">
        <v>1107</v>
      </c>
      <c r="D86" s="3" t="s">
        <v>1106</v>
      </c>
      <c r="E86" s="3" t="str">
        <f>"多賀城市高橋５－３－２"</f>
        <v>多賀城市高橋５－３－２</v>
      </c>
      <c r="F86" s="2" t="str">
        <f>"022-389-2575  "</f>
        <v xml:space="preserve">022-389-2575  </v>
      </c>
      <c r="G86" s="3" t="s">
        <v>1105</v>
      </c>
    </row>
    <row r="87" spans="1:7" x14ac:dyDescent="0.4">
      <c r="A87" s="2">
        <v>86</v>
      </c>
      <c r="B87" s="2" t="s">
        <v>992</v>
      </c>
      <c r="C87" s="2" t="s">
        <v>1104</v>
      </c>
      <c r="D87" s="3" t="s">
        <v>1103</v>
      </c>
      <c r="E87" s="3" t="str">
        <f>"大崎市古川浦町1－37"</f>
        <v>大崎市古川浦町1－37</v>
      </c>
      <c r="F87" s="2" t="str">
        <f>"0229-22-0016  "</f>
        <v xml:space="preserve">0229-22-0016  </v>
      </c>
      <c r="G87" s="3" t="s">
        <v>26</v>
      </c>
    </row>
    <row r="88" spans="1:7" x14ac:dyDescent="0.4">
      <c r="A88" s="2">
        <v>87</v>
      </c>
      <c r="B88" s="2" t="s">
        <v>992</v>
      </c>
      <c r="C88" s="2" t="s">
        <v>1102</v>
      </c>
      <c r="D88" s="3" t="s">
        <v>1101</v>
      </c>
      <c r="E88" s="3" t="s">
        <v>1100</v>
      </c>
      <c r="F88" s="2" t="str">
        <f>"0229-23-5521  "</f>
        <v xml:space="preserve">0229-23-5521  </v>
      </c>
      <c r="G88" s="3" t="s">
        <v>26</v>
      </c>
    </row>
    <row r="89" spans="1:7" x14ac:dyDescent="0.4">
      <c r="A89" s="2">
        <v>88</v>
      </c>
      <c r="B89" s="2" t="s">
        <v>992</v>
      </c>
      <c r="C89" s="2" t="s">
        <v>1099</v>
      </c>
      <c r="D89" s="3" t="s">
        <v>1098</v>
      </c>
      <c r="E89" s="3" t="str">
        <f>"大崎市古川駅東１－５－１３"</f>
        <v>大崎市古川駅東１－５－１３</v>
      </c>
      <c r="F89" s="2" t="str">
        <f>"0229-91-8981  "</f>
        <v xml:space="preserve">0229-91-8981  </v>
      </c>
      <c r="G89" s="3" t="s">
        <v>365</v>
      </c>
    </row>
    <row r="90" spans="1:7" ht="37.5" x14ac:dyDescent="0.4">
      <c r="A90" s="2">
        <v>89</v>
      </c>
      <c r="B90" s="2" t="s">
        <v>992</v>
      </c>
      <c r="C90" s="2" t="s">
        <v>1097</v>
      </c>
      <c r="D90" s="3" t="s">
        <v>1096</v>
      </c>
      <c r="E90" s="3" t="str">
        <f>"大崎市古川駅東1-5-17"</f>
        <v>大崎市古川駅東1-5-17</v>
      </c>
      <c r="F90" s="2" t="str">
        <f>"0229-91-8981  "</f>
        <v xml:space="preserve">0229-91-8981  </v>
      </c>
      <c r="G90" s="3" t="s">
        <v>26</v>
      </c>
    </row>
    <row r="91" spans="1:7" ht="37.5" x14ac:dyDescent="0.4">
      <c r="A91" s="2">
        <v>90</v>
      </c>
      <c r="B91" s="2" t="s">
        <v>992</v>
      </c>
      <c r="C91" s="2" t="s">
        <v>1095</v>
      </c>
      <c r="D91" s="3" t="s">
        <v>1093</v>
      </c>
      <c r="E91" s="3" t="s">
        <v>1092</v>
      </c>
      <c r="F91" s="2" t="str">
        <f>"0229-23-5521  "</f>
        <v xml:space="preserve">0229-23-5521  </v>
      </c>
      <c r="G91" s="3" t="s">
        <v>26</v>
      </c>
    </row>
    <row r="92" spans="1:7" ht="37.5" x14ac:dyDescent="0.4">
      <c r="A92" s="2">
        <v>91</v>
      </c>
      <c r="B92" s="2" t="s">
        <v>992</v>
      </c>
      <c r="C92" s="2" t="s">
        <v>1094</v>
      </c>
      <c r="D92" s="3" t="s">
        <v>1093</v>
      </c>
      <c r="E92" s="3" t="s">
        <v>1092</v>
      </c>
      <c r="F92" s="2" t="str">
        <f>"0229-23-5521  "</f>
        <v xml:space="preserve">0229-23-5521  </v>
      </c>
      <c r="G92" s="3" t="s">
        <v>26</v>
      </c>
    </row>
    <row r="93" spans="1:7" x14ac:dyDescent="0.4">
      <c r="A93" s="2">
        <v>92</v>
      </c>
      <c r="B93" s="2" t="s">
        <v>992</v>
      </c>
      <c r="C93" s="2" t="s">
        <v>1091</v>
      </c>
      <c r="D93" s="3" t="s">
        <v>366</v>
      </c>
      <c r="E93" s="3" t="str">
        <f>"大崎市古川三日町2－3－45"</f>
        <v>大崎市古川三日町2－3－45</v>
      </c>
      <c r="F93" s="2" t="str">
        <f>"0229-22-6656  "</f>
        <v xml:space="preserve">0229-22-6656  </v>
      </c>
      <c r="G93" s="3" t="s">
        <v>365</v>
      </c>
    </row>
    <row r="94" spans="1:7" x14ac:dyDescent="0.4">
      <c r="A94" s="2">
        <v>93</v>
      </c>
      <c r="B94" s="2" t="s">
        <v>992</v>
      </c>
      <c r="C94" s="2" t="s">
        <v>1090</v>
      </c>
      <c r="D94" s="3" t="s">
        <v>1089</v>
      </c>
      <c r="E94" s="3" t="s">
        <v>1088</v>
      </c>
      <c r="F94" s="2" t="str">
        <f>"0229-21-8655  "</f>
        <v xml:space="preserve">0229-21-8655  </v>
      </c>
      <c r="G94" s="3" t="s">
        <v>927</v>
      </c>
    </row>
    <row r="95" spans="1:7" ht="37.5" x14ac:dyDescent="0.4">
      <c r="A95" s="2">
        <v>94</v>
      </c>
      <c r="B95" s="2" t="s">
        <v>992</v>
      </c>
      <c r="C95" s="2" t="s">
        <v>1087</v>
      </c>
      <c r="D95" s="3" t="s">
        <v>1086</v>
      </c>
      <c r="E95" s="3" t="str">
        <f>"大崎市古川大宮７丁目７－３３"</f>
        <v>大崎市古川大宮７丁目７－３３</v>
      </c>
      <c r="F95" s="2" t="str">
        <f>"0229-21-1666  "</f>
        <v xml:space="preserve">0229-21-1666  </v>
      </c>
      <c r="G95" s="3" t="s">
        <v>97</v>
      </c>
    </row>
    <row r="96" spans="1:7" x14ac:dyDescent="0.4">
      <c r="A96" s="2">
        <v>95</v>
      </c>
      <c r="B96" s="2" t="s">
        <v>992</v>
      </c>
      <c r="C96" s="2" t="s">
        <v>1085</v>
      </c>
      <c r="D96" s="3" t="s">
        <v>1084</v>
      </c>
      <c r="E96" s="3" t="str">
        <f>"大崎市古川大宮８－９－１５"</f>
        <v>大崎市古川大宮８－９－１５</v>
      </c>
      <c r="F96" s="2" t="str">
        <f>"0229-23-4456  "</f>
        <v xml:space="preserve">0229-23-4456  </v>
      </c>
      <c r="G96" s="3" t="s">
        <v>160</v>
      </c>
    </row>
    <row r="97" spans="1:7" x14ac:dyDescent="0.4">
      <c r="A97" s="2">
        <v>96</v>
      </c>
      <c r="B97" s="2" t="s">
        <v>992</v>
      </c>
      <c r="C97" s="2" t="s">
        <v>1083</v>
      </c>
      <c r="D97" s="3" t="s">
        <v>290</v>
      </c>
      <c r="E97" s="3" t="str">
        <f>"大崎市古川穂波３－８－１"</f>
        <v>大崎市古川穂波３－８－１</v>
      </c>
      <c r="F97" s="2" t="str">
        <f>"0229-23-3311  "</f>
        <v xml:space="preserve">0229-23-3311  </v>
      </c>
      <c r="G97" s="3" t="s">
        <v>180</v>
      </c>
    </row>
    <row r="98" spans="1:7" x14ac:dyDescent="0.4">
      <c r="A98" s="2">
        <v>97</v>
      </c>
      <c r="B98" s="2" t="s">
        <v>992</v>
      </c>
      <c r="C98" s="2" t="s">
        <v>1082</v>
      </c>
      <c r="D98" s="3" t="s">
        <v>290</v>
      </c>
      <c r="E98" s="3" t="str">
        <f>"大崎市古川穂波３－８－１"</f>
        <v>大崎市古川穂波３－８－１</v>
      </c>
      <c r="F98" s="2" t="str">
        <f>"0229-23-3311  "</f>
        <v xml:space="preserve">0229-23-3311  </v>
      </c>
      <c r="G98" s="3" t="s">
        <v>22</v>
      </c>
    </row>
    <row r="99" spans="1:7" x14ac:dyDescent="0.4">
      <c r="A99" s="2">
        <v>98</v>
      </c>
      <c r="B99" s="2" t="s">
        <v>992</v>
      </c>
      <c r="C99" s="2" t="s">
        <v>1081</v>
      </c>
      <c r="D99" s="3" t="s">
        <v>1080</v>
      </c>
      <c r="E99" s="3" t="s">
        <v>1079</v>
      </c>
      <c r="F99" s="2" t="str">
        <f>"0229-81-1133  "</f>
        <v xml:space="preserve">0229-81-1133  </v>
      </c>
      <c r="G99" s="3" t="s">
        <v>26</v>
      </c>
    </row>
    <row r="100" spans="1:7" x14ac:dyDescent="0.4">
      <c r="A100" s="2">
        <v>99</v>
      </c>
      <c r="B100" s="2" t="s">
        <v>992</v>
      </c>
      <c r="C100" s="2" t="s">
        <v>1078</v>
      </c>
      <c r="D100" s="3" t="s">
        <v>1077</v>
      </c>
      <c r="E100" s="3" t="str">
        <f>"登米市中田町石森字加賀野２－５－２５"</f>
        <v>登米市中田町石森字加賀野２－５－２５</v>
      </c>
      <c r="F100" s="2" t="str">
        <f>"0220-35-1066  "</f>
        <v xml:space="preserve">0220-35-1066  </v>
      </c>
      <c r="G100" s="3" t="s">
        <v>5</v>
      </c>
    </row>
    <row r="101" spans="1:7" x14ac:dyDescent="0.4">
      <c r="A101" s="2">
        <v>100</v>
      </c>
      <c r="B101" s="2" t="s">
        <v>992</v>
      </c>
      <c r="C101" s="2" t="s">
        <v>1076</v>
      </c>
      <c r="D101" s="3" t="s">
        <v>1075</v>
      </c>
      <c r="E101" s="3" t="s">
        <v>1074</v>
      </c>
      <c r="F101" s="2" t="str">
        <f>"0225-68-3210  "</f>
        <v xml:space="preserve">0225-68-3210  </v>
      </c>
      <c r="G101" s="3" t="s">
        <v>365</v>
      </c>
    </row>
    <row r="102" spans="1:7" x14ac:dyDescent="0.4">
      <c r="A102" s="2">
        <v>101</v>
      </c>
      <c r="B102" s="2" t="s">
        <v>992</v>
      </c>
      <c r="C102" s="2" t="s">
        <v>1073</v>
      </c>
      <c r="D102" s="3" t="s">
        <v>267</v>
      </c>
      <c r="E102" s="3" t="s">
        <v>1072</v>
      </c>
      <c r="F102" s="2" t="str">
        <f>"0220-42-2007  "</f>
        <v xml:space="preserve">0220-42-2007  </v>
      </c>
      <c r="G102" s="3" t="s">
        <v>26</v>
      </c>
    </row>
    <row r="103" spans="1:7" x14ac:dyDescent="0.4">
      <c r="A103" s="2">
        <v>102</v>
      </c>
      <c r="B103" s="2" t="s">
        <v>992</v>
      </c>
      <c r="C103" s="2" t="s">
        <v>1071</v>
      </c>
      <c r="D103" s="3" t="s">
        <v>267</v>
      </c>
      <c r="E103" s="3" t="s">
        <v>269</v>
      </c>
      <c r="F103" s="2" t="str">
        <f>"0220-42-2007  "</f>
        <v xml:space="preserve">0220-42-2007  </v>
      </c>
      <c r="G103" s="3" t="s">
        <v>26</v>
      </c>
    </row>
    <row r="104" spans="1:7" ht="37.5" x14ac:dyDescent="0.4">
      <c r="A104" s="2">
        <v>103</v>
      </c>
      <c r="B104" s="2" t="s">
        <v>992</v>
      </c>
      <c r="C104" s="2" t="s">
        <v>1070</v>
      </c>
      <c r="D104" s="3" t="s">
        <v>1069</v>
      </c>
      <c r="E104" s="3" t="str">
        <f>"登米市南方町鴻ノ木１５２－１"</f>
        <v>登米市南方町鴻ノ木１５２－１</v>
      </c>
      <c r="F104" s="2" t="str">
        <f>"0220-29-6060  "</f>
        <v xml:space="preserve">0220-29-6060  </v>
      </c>
      <c r="G104" s="3" t="s">
        <v>383</v>
      </c>
    </row>
    <row r="105" spans="1:7" x14ac:dyDescent="0.4">
      <c r="A105" s="2">
        <v>104</v>
      </c>
      <c r="B105" s="2" t="s">
        <v>992</v>
      </c>
      <c r="C105" s="2" t="s">
        <v>1068</v>
      </c>
      <c r="D105" s="3" t="s">
        <v>254</v>
      </c>
      <c r="E105" s="3" t="s">
        <v>256</v>
      </c>
      <c r="F105" s="2" t="str">
        <f>"0220-22-5511  "</f>
        <v xml:space="preserve">0220-22-5511  </v>
      </c>
      <c r="G105" s="3" t="s">
        <v>26</v>
      </c>
    </row>
    <row r="106" spans="1:7" x14ac:dyDescent="0.4">
      <c r="A106" s="2">
        <v>105</v>
      </c>
      <c r="B106" s="2" t="s">
        <v>992</v>
      </c>
      <c r="C106" s="2" t="s">
        <v>1067</v>
      </c>
      <c r="D106" s="3" t="s">
        <v>1066</v>
      </c>
      <c r="E106" s="3" t="str">
        <f>"登米市迫町佐沼字江合２－１２－１２"</f>
        <v>登米市迫町佐沼字江合２－１２－１２</v>
      </c>
      <c r="F106" s="2" t="str">
        <f>"0220-21-1380  "</f>
        <v xml:space="preserve">0220-21-1380  </v>
      </c>
      <c r="G106" s="3" t="s">
        <v>9</v>
      </c>
    </row>
    <row r="107" spans="1:7" x14ac:dyDescent="0.4">
      <c r="A107" s="2">
        <v>106</v>
      </c>
      <c r="B107" s="2" t="s">
        <v>992</v>
      </c>
      <c r="C107" s="2" t="s">
        <v>1065</v>
      </c>
      <c r="D107" s="3" t="s">
        <v>1064</v>
      </c>
      <c r="E107" s="3" t="str">
        <f>"登米市迫町佐沼字中江３－７－７"</f>
        <v>登米市迫町佐沼字中江３－７－７</v>
      </c>
      <c r="F107" s="2" t="str">
        <f>"0220-22-6508  "</f>
        <v xml:space="preserve">0220-22-6508  </v>
      </c>
      <c r="G107" s="3" t="s">
        <v>53</v>
      </c>
    </row>
    <row r="108" spans="1:7" x14ac:dyDescent="0.4">
      <c r="A108" s="2">
        <v>107</v>
      </c>
      <c r="B108" s="2" t="s">
        <v>992</v>
      </c>
      <c r="C108" s="2" t="s">
        <v>1063</v>
      </c>
      <c r="D108" s="3" t="s">
        <v>1062</v>
      </c>
      <c r="E108" s="3" t="s">
        <v>1061</v>
      </c>
      <c r="F108" s="2" t="str">
        <f>"0220-22-3725  "</f>
        <v xml:space="preserve">0220-22-3725  </v>
      </c>
      <c r="G108" s="3" t="s">
        <v>1060</v>
      </c>
    </row>
    <row r="109" spans="1:7" x14ac:dyDescent="0.4">
      <c r="A109" s="2">
        <v>108</v>
      </c>
      <c r="B109" s="2" t="s">
        <v>992</v>
      </c>
      <c r="C109" s="2" t="s">
        <v>1059</v>
      </c>
      <c r="D109" s="3" t="s">
        <v>1058</v>
      </c>
      <c r="E109" s="3" t="s">
        <v>239</v>
      </c>
      <c r="F109" s="2" t="str">
        <f>"0220-23-9832  "</f>
        <v xml:space="preserve">0220-23-9832  </v>
      </c>
      <c r="G109" s="3" t="s">
        <v>26</v>
      </c>
    </row>
    <row r="110" spans="1:7" x14ac:dyDescent="0.4">
      <c r="A110" s="2">
        <v>109</v>
      </c>
      <c r="B110" s="2" t="s">
        <v>992</v>
      </c>
      <c r="C110" s="2" t="s">
        <v>1057</v>
      </c>
      <c r="D110" s="3" t="s">
        <v>1056</v>
      </c>
      <c r="E110" s="3" t="str">
        <f>"登米市迫町佐沼字南佐沼１丁目４－１５"</f>
        <v>登米市迫町佐沼字南佐沼１丁目４－１５</v>
      </c>
      <c r="F110" s="2" t="str">
        <f>"0220-22-2177  "</f>
        <v xml:space="preserve">0220-22-2177  </v>
      </c>
      <c r="G110" s="3" t="s">
        <v>53</v>
      </c>
    </row>
    <row r="111" spans="1:7" ht="37.5" x14ac:dyDescent="0.4">
      <c r="A111" s="2">
        <v>110</v>
      </c>
      <c r="B111" s="2" t="s">
        <v>992</v>
      </c>
      <c r="C111" s="2" t="s">
        <v>1055</v>
      </c>
      <c r="D111" s="3" t="s">
        <v>240</v>
      </c>
      <c r="E111" s="3" t="s">
        <v>1054</v>
      </c>
      <c r="F111" s="2" t="str">
        <f>"0220-23-9832  "</f>
        <v xml:space="preserve">0220-23-9832  </v>
      </c>
      <c r="G111" s="3" t="s">
        <v>26</v>
      </c>
    </row>
    <row r="112" spans="1:7" x14ac:dyDescent="0.4">
      <c r="A112" s="2">
        <v>111</v>
      </c>
      <c r="B112" s="2" t="s">
        <v>992</v>
      </c>
      <c r="C112" s="2" t="s">
        <v>1053</v>
      </c>
      <c r="D112" s="3" t="s">
        <v>1052</v>
      </c>
      <c r="E112" s="3" t="s">
        <v>1051</v>
      </c>
      <c r="F112" s="2" t="str">
        <f>"0220-23-7387  "</f>
        <v xml:space="preserve">0220-23-7387  </v>
      </c>
      <c r="G112" s="3" t="s">
        <v>1050</v>
      </c>
    </row>
    <row r="113" spans="1:7" x14ac:dyDescent="0.4">
      <c r="A113" s="2">
        <v>112</v>
      </c>
      <c r="B113" s="2" t="s">
        <v>992</v>
      </c>
      <c r="C113" s="2" t="s">
        <v>1049</v>
      </c>
      <c r="D113" s="3" t="s">
        <v>233</v>
      </c>
      <c r="E113" s="3" t="str">
        <f>"登米市豊里町土手下７４－１"</f>
        <v>登米市豊里町土手下７４－１</v>
      </c>
      <c r="F113" s="2" t="str">
        <f>"0225-76-2023  "</f>
        <v xml:space="preserve">0225-76-2023  </v>
      </c>
      <c r="G113" s="3" t="s">
        <v>26</v>
      </c>
    </row>
    <row r="114" spans="1:7" x14ac:dyDescent="0.4">
      <c r="A114" s="2">
        <v>113</v>
      </c>
      <c r="B114" s="2" t="s">
        <v>992</v>
      </c>
      <c r="C114" s="2" t="s">
        <v>1048</v>
      </c>
      <c r="D114" s="3" t="s">
        <v>224</v>
      </c>
      <c r="E114" s="3" t="str">
        <f>"東松島市赤井字台５３－７"</f>
        <v>東松島市赤井字台５３－７</v>
      </c>
      <c r="F114" s="2" t="str">
        <f>"0225-83-2111  "</f>
        <v xml:space="preserve">0225-83-2111  </v>
      </c>
      <c r="G114" s="3" t="s">
        <v>53</v>
      </c>
    </row>
    <row r="115" spans="1:7" x14ac:dyDescent="0.4">
      <c r="A115" s="2">
        <v>114</v>
      </c>
      <c r="B115" s="2" t="s">
        <v>992</v>
      </c>
      <c r="C115" s="2" t="s">
        <v>1047</v>
      </c>
      <c r="D115" s="3" t="s">
        <v>224</v>
      </c>
      <c r="E115" s="3" t="str">
        <f>"東松島市赤井字台５３－７"</f>
        <v>東松島市赤井字台５３－７</v>
      </c>
      <c r="F115" s="2" t="str">
        <f>"0225-83-2111  "</f>
        <v xml:space="preserve">0225-83-2111  </v>
      </c>
      <c r="G115" s="3" t="s">
        <v>26</v>
      </c>
    </row>
    <row r="116" spans="1:7" x14ac:dyDescent="0.4">
      <c r="A116" s="2">
        <v>115</v>
      </c>
      <c r="B116" s="2" t="s">
        <v>992</v>
      </c>
      <c r="C116" s="2" t="s">
        <v>1046</v>
      </c>
      <c r="D116" s="3" t="s">
        <v>1045</v>
      </c>
      <c r="E116" s="3" t="str">
        <f>"東松島市野蒜ヶ丘三丁目２９-５"</f>
        <v>東松島市野蒜ヶ丘三丁目２９-５</v>
      </c>
      <c r="F116" s="2" t="str">
        <f>"0225-98-6662  "</f>
        <v xml:space="preserve">0225-98-6662  </v>
      </c>
      <c r="G116" s="3" t="s">
        <v>732</v>
      </c>
    </row>
    <row r="117" spans="1:7" x14ac:dyDescent="0.4">
      <c r="A117" s="2">
        <v>116</v>
      </c>
      <c r="B117" s="2" t="s">
        <v>992</v>
      </c>
      <c r="C117" s="2" t="s">
        <v>1044</v>
      </c>
      <c r="D117" s="3" t="s">
        <v>200</v>
      </c>
      <c r="E117" s="3" t="str">
        <f>"東松島市矢本字鹿石前１０９－４"</f>
        <v>東松島市矢本字鹿石前１０９－４</v>
      </c>
      <c r="F117" s="2" t="str">
        <f>"0225-82-7111  "</f>
        <v xml:space="preserve">0225-82-7111  </v>
      </c>
      <c r="G117" s="3" t="s">
        <v>18</v>
      </c>
    </row>
    <row r="118" spans="1:7" x14ac:dyDescent="0.4">
      <c r="A118" s="2">
        <v>117</v>
      </c>
      <c r="B118" s="2" t="s">
        <v>992</v>
      </c>
      <c r="C118" s="2" t="s">
        <v>1043</v>
      </c>
      <c r="D118" s="3" t="s">
        <v>200</v>
      </c>
      <c r="E118" s="3" t="str">
        <f>"東松島市矢本字鹿石前１０９－４"</f>
        <v>東松島市矢本字鹿石前１０９－４</v>
      </c>
      <c r="F118" s="2" t="str">
        <f>"0225-82-7111  "</f>
        <v xml:space="preserve">0225-82-7111  </v>
      </c>
      <c r="G118" s="3" t="s">
        <v>26</v>
      </c>
    </row>
    <row r="119" spans="1:7" x14ac:dyDescent="0.4">
      <c r="A119" s="2">
        <v>118</v>
      </c>
      <c r="B119" s="2" t="s">
        <v>992</v>
      </c>
      <c r="C119" s="2" t="s">
        <v>1042</v>
      </c>
      <c r="D119" s="3" t="s">
        <v>1041</v>
      </c>
      <c r="E119" s="3" t="str">
        <f>"白石市城北町４－１１"</f>
        <v>白石市城北町４－１１</v>
      </c>
      <c r="F119" s="2" t="str">
        <f>"0224-22-2535  "</f>
        <v xml:space="preserve">0224-22-2535  </v>
      </c>
      <c r="G119" s="3" t="s">
        <v>26</v>
      </c>
    </row>
    <row r="120" spans="1:7" ht="37.5" x14ac:dyDescent="0.4">
      <c r="A120" s="2">
        <v>119</v>
      </c>
      <c r="B120" s="2" t="s">
        <v>992</v>
      </c>
      <c r="C120" s="2" t="s">
        <v>1040</v>
      </c>
      <c r="D120" s="3" t="s">
        <v>190</v>
      </c>
      <c r="E120" s="3" t="s">
        <v>1039</v>
      </c>
      <c r="F120" s="2" t="str">
        <f>"0224-25-1181  "</f>
        <v xml:space="preserve">0224-25-1181  </v>
      </c>
      <c r="G120" s="3" t="s">
        <v>1038</v>
      </c>
    </row>
    <row r="121" spans="1:7" x14ac:dyDescent="0.4">
      <c r="A121" s="2">
        <v>120</v>
      </c>
      <c r="B121" s="2" t="s">
        <v>992</v>
      </c>
      <c r="C121" s="2" t="s">
        <v>1037</v>
      </c>
      <c r="D121" s="3" t="s">
        <v>1036</v>
      </c>
      <c r="E121" s="3" t="str">
        <f>"白石市鷹巣東３丁目８－３"</f>
        <v>白石市鷹巣東３丁目８－３</v>
      </c>
      <c r="F121" s="2" t="str">
        <f>"0224-26-6330  "</f>
        <v xml:space="preserve">0224-26-6330  </v>
      </c>
      <c r="G121" s="3" t="s">
        <v>79</v>
      </c>
    </row>
    <row r="122" spans="1:7" x14ac:dyDescent="0.4">
      <c r="A122" s="2">
        <v>121</v>
      </c>
      <c r="B122" s="2" t="s">
        <v>992</v>
      </c>
      <c r="C122" s="2" t="s">
        <v>1035</v>
      </c>
      <c r="D122" s="3" t="s">
        <v>1033</v>
      </c>
      <c r="E122" s="3" t="str">
        <f>"白石市長町５６－１"</f>
        <v>白石市長町５６－１</v>
      </c>
      <c r="F122" s="2" t="str">
        <f>"0224-25-1501  "</f>
        <v xml:space="preserve">0224-25-1501  </v>
      </c>
      <c r="G122" s="3" t="s">
        <v>26</v>
      </c>
    </row>
    <row r="123" spans="1:7" ht="37.5" x14ac:dyDescent="0.4">
      <c r="A123" s="2">
        <v>122</v>
      </c>
      <c r="B123" s="2" t="s">
        <v>992</v>
      </c>
      <c r="C123" s="2" t="s">
        <v>1034</v>
      </c>
      <c r="D123" s="3" t="s">
        <v>1033</v>
      </c>
      <c r="E123" s="3" t="str">
        <f>"白石市長町５６－１"</f>
        <v>白石市長町５６－１</v>
      </c>
      <c r="F123" s="2" t="str">
        <f>"0224-25-1501  "</f>
        <v xml:space="preserve">0224-25-1501  </v>
      </c>
      <c r="G123" s="3" t="s">
        <v>1032</v>
      </c>
    </row>
    <row r="124" spans="1:7" x14ac:dyDescent="0.4">
      <c r="A124" s="2">
        <v>123</v>
      </c>
      <c r="B124" s="2" t="s">
        <v>992</v>
      </c>
      <c r="C124" s="2" t="s">
        <v>1031</v>
      </c>
      <c r="D124" s="3" t="s">
        <v>164</v>
      </c>
      <c r="E124" s="3" t="s">
        <v>1030</v>
      </c>
      <c r="F124" s="2" t="str">
        <f>"0224-25-2145  "</f>
        <v xml:space="preserve">0224-25-2145  </v>
      </c>
      <c r="G124" s="3" t="s">
        <v>383</v>
      </c>
    </row>
    <row r="125" spans="1:7" x14ac:dyDescent="0.4">
      <c r="A125" s="2">
        <v>124</v>
      </c>
      <c r="B125" s="2" t="s">
        <v>992</v>
      </c>
      <c r="C125" s="2" t="s">
        <v>1029</v>
      </c>
      <c r="D125" s="3" t="s">
        <v>152</v>
      </c>
      <c r="E125" s="3" t="str">
        <f>"富谷市上桜木２－１－６"</f>
        <v>富谷市上桜木２－１－６</v>
      </c>
      <c r="F125" s="2" t="str">
        <f>"022-779-1470  "</f>
        <v xml:space="preserve">022-779-1470  </v>
      </c>
      <c r="G125" s="3" t="s">
        <v>79</v>
      </c>
    </row>
    <row r="126" spans="1:7" x14ac:dyDescent="0.4">
      <c r="A126" s="2">
        <v>125</v>
      </c>
      <c r="B126" s="2" t="s">
        <v>992</v>
      </c>
      <c r="C126" s="2" t="s">
        <v>1028</v>
      </c>
      <c r="D126" s="3" t="s">
        <v>152</v>
      </c>
      <c r="E126" s="3" t="str">
        <f>"富谷市上桜木２－１－６"</f>
        <v>富谷市上桜木２－１－６</v>
      </c>
      <c r="F126" s="2" t="str">
        <f>"022-779-1470  "</f>
        <v xml:space="preserve">022-779-1470  </v>
      </c>
      <c r="G126" s="3" t="s">
        <v>1027</v>
      </c>
    </row>
    <row r="127" spans="1:7" x14ac:dyDescent="0.4">
      <c r="A127" s="2">
        <v>126</v>
      </c>
      <c r="B127" s="2" t="s">
        <v>992</v>
      </c>
      <c r="C127" s="2" t="s">
        <v>1026</v>
      </c>
      <c r="D127" s="3" t="s">
        <v>152</v>
      </c>
      <c r="E127" s="3" t="str">
        <f>"富谷市上桜木２－１－６"</f>
        <v>富谷市上桜木２－１－６</v>
      </c>
      <c r="F127" s="2" t="str">
        <f>"022-779-1470  "</f>
        <v xml:space="preserve">022-779-1470  </v>
      </c>
      <c r="G127" s="3" t="s">
        <v>1025</v>
      </c>
    </row>
    <row r="128" spans="1:7" x14ac:dyDescent="0.4">
      <c r="A128" s="2">
        <v>127</v>
      </c>
      <c r="B128" s="2" t="s">
        <v>992</v>
      </c>
      <c r="C128" s="2" t="s">
        <v>1024</v>
      </c>
      <c r="D128" s="3" t="s">
        <v>152</v>
      </c>
      <c r="E128" s="3" t="str">
        <f>"富谷市上桜木２－１－６"</f>
        <v>富谷市上桜木２－１－６</v>
      </c>
      <c r="F128" s="2" t="str">
        <f>"022-779-1470  "</f>
        <v xml:space="preserve">022-779-1470  </v>
      </c>
      <c r="G128" s="3" t="s">
        <v>64</v>
      </c>
    </row>
    <row r="129" spans="1:7" x14ac:dyDescent="0.4">
      <c r="A129" s="2">
        <v>128</v>
      </c>
      <c r="B129" s="2" t="s">
        <v>992</v>
      </c>
      <c r="C129" s="2" t="s">
        <v>1023</v>
      </c>
      <c r="D129" s="3" t="s">
        <v>152</v>
      </c>
      <c r="E129" s="3" t="str">
        <f>"富谷市上桜木2-1-6"</f>
        <v>富谷市上桜木2-1-6</v>
      </c>
      <c r="F129" s="2" t="str">
        <f>"022-779-1470  "</f>
        <v xml:space="preserve">022-779-1470  </v>
      </c>
      <c r="G129" s="3"/>
    </row>
    <row r="130" spans="1:7" x14ac:dyDescent="0.4">
      <c r="A130" s="2">
        <v>129</v>
      </c>
      <c r="B130" s="2" t="s">
        <v>992</v>
      </c>
      <c r="C130" s="2" t="s">
        <v>1022</v>
      </c>
      <c r="D130" s="3" t="s">
        <v>83</v>
      </c>
      <c r="E130" s="3" t="str">
        <f>"名取市愛島塩手字野田山４７－１"</f>
        <v>名取市愛島塩手字野田山４７－１</v>
      </c>
      <c r="F130" s="2" t="str">
        <f>"022-384-3151  "</f>
        <v xml:space="preserve">022-384-3151  </v>
      </c>
      <c r="G130" s="3" t="s">
        <v>86</v>
      </c>
    </row>
    <row r="131" spans="1:7" x14ac:dyDescent="0.4">
      <c r="A131" s="2">
        <v>130</v>
      </c>
      <c r="B131" s="2" t="s">
        <v>992</v>
      </c>
      <c r="C131" s="2" t="s">
        <v>1021</v>
      </c>
      <c r="D131" s="3" t="s">
        <v>1020</v>
      </c>
      <c r="E131" s="3" t="str">
        <f>"名取市植松４－１７－１６"</f>
        <v>名取市植松４－１７－１６</v>
      </c>
      <c r="F131" s="2" t="str">
        <f>"022-383-6677  "</f>
        <v xml:space="preserve">022-383-6677  </v>
      </c>
      <c r="G131" s="3" t="s">
        <v>1019</v>
      </c>
    </row>
    <row r="132" spans="1:7" x14ac:dyDescent="0.4">
      <c r="A132" s="2">
        <v>131</v>
      </c>
      <c r="B132" s="2" t="s">
        <v>992</v>
      </c>
      <c r="C132" s="2" t="s">
        <v>1018</v>
      </c>
      <c r="D132" s="3" t="s">
        <v>1017</v>
      </c>
      <c r="E132" s="3" t="s">
        <v>1016</v>
      </c>
      <c r="F132" s="2" t="str">
        <f>"022-397-6313  "</f>
        <v xml:space="preserve">022-397-6313  </v>
      </c>
      <c r="G132" s="3" t="s">
        <v>1015</v>
      </c>
    </row>
    <row r="133" spans="1:7" ht="37.5" x14ac:dyDescent="0.4">
      <c r="A133" s="2">
        <v>132</v>
      </c>
      <c r="B133" s="2" t="s">
        <v>992</v>
      </c>
      <c r="C133" s="2" t="s">
        <v>1014</v>
      </c>
      <c r="D133" s="3" t="s">
        <v>1013</v>
      </c>
      <c r="E133" s="3" t="str">
        <f>"名取市増田一丁目９－２１"</f>
        <v>名取市増田一丁目９－２１</v>
      </c>
      <c r="F133" s="2" t="str">
        <f>"022-384-5171  "</f>
        <v xml:space="preserve">022-384-5171  </v>
      </c>
      <c r="G133" s="3" t="s">
        <v>1012</v>
      </c>
    </row>
    <row r="134" spans="1:7" x14ac:dyDescent="0.4">
      <c r="A134" s="2">
        <v>133</v>
      </c>
      <c r="B134" s="2" t="s">
        <v>992</v>
      </c>
      <c r="C134" s="2" t="s">
        <v>1011</v>
      </c>
      <c r="D134" s="3" t="s">
        <v>1010</v>
      </c>
      <c r="E134" s="3" t="s">
        <v>1009</v>
      </c>
      <c r="F134" s="2" t="str">
        <f>"022-738-7081  "</f>
        <v xml:space="preserve">022-738-7081  </v>
      </c>
      <c r="G134" s="3" t="s">
        <v>206</v>
      </c>
    </row>
    <row r="135" spans="1:7" x14ac:dyDescent="0.4">
      <c r="A135" s="2">
        <v>134</v>
      </c>
      <c r="B135" s="2" t="s">
        <v>992</v>
      </c>
      <c r="C135" s="2" t="s">
        <v>1008</v>
      </c>
      <c r="D135" s="3" t="s">
        <v>1007</v>
      </c>
      <c r="E135" s="3" t="s">
        <v>1006</v>
      </c>
      <c r="F135" s="2" t="str">
        <f>"022-397-7141  "</f>
        <v xml:space="preserve">022-397-7141  </v>
      </c>
      <c r="G135" s="3" t="s">
        <v>1005</v>
      </c>
    </row>
    <row r="136" spans="1:7" ht="37.5" x14ac:dyDescent="0.4">
      <c r="A136" s="2">
        <v>135</v>
      </c>
      <c r="B136" s="2" t="s">
        <v>992</v>
      </c>
      <c r="C136" s="2" t="s">
        <v>1004</v>
      </c>
      <c r="D136" s="3" t="s">
        <v>24</v>
      </c>
      <c r="E136" s="3" t="s">
        <v>23</v>
      </c>
      <c r="F136" s="2" t="str">
        <f>"0223-37-1131  "</f>
        <v xml:space="preserve">0223-37-1131  </v>
      </c>
      <c r="G136" s="3" t="s">
        <v>26</v>
      </c>
    </row>
    <row r="137" spans="1:7" ht="37.5" x14ac:dyDescent="0.4">
      <c r="A137" s="2">
        <v>136</v>
      </c>
      <c r="B137" s="2" t="s">
        <v>992</v>
      </c>
      <c r="C137" s="2" t="s">
        <v>1003</v>
      </c>
      <c r="D137" s="3" t="s">
        <v>24</v>
      </c>
      <c r="E137" s="3" t="s">
        <v>23</v>
      </c>
      <c r="F137" s="2" t="str">
        <f>"0223-37-1131  "</f>
        <v xml:space="preserve">0223-37-1131  </v>
      </c>
      <c r="G137" s="3" t="s">
        <v>26</v>
      </c>
    </row>
    <row r="138" spans="1:7" ht="37.5" x14ac:dyDescent="0.4">
      <c r="A138" s="2">
        <v>137</v>
      </c>
      <c r="B138" s="2" t="s">
        <v>992</v>
      </c>
      <c r="C138" s="2" t="s">
        <v>1002</v>
      </c>
      <c r="D138" s="3" t="s">
        <v>24</v>
      </c>
      <c r="E138" s="3" t="s">
        <v>23</v>
      </c>
      <c r="F138" s="2" t="str">
        <f>"0223-37-1131  "</f>
        <v xml:space="preserve">0223-37-1131  </v>
      </c>
      <c r="G138" s="3" t="s">
        <v>22</v>
      </c>
    </row>
    <row r="139" spans="1:7" ht="37.5" x14ac:dyDescent="0.4">
      <c r="A139" s="2">
        <v>138</v>
      </c>
      <c r="B139" s="2" t="s">
        <v>992</v>
      </c>
      <c r="C139" s="2" t="s">
        <v>1001</v>
      </c>
      <c r="D139" s="3" t="s">
        <v>24</v>
      </c>
      <c r="E139" s="3" t="s">
        <v>23</v>
      </c>
      <c r="F139" s="2" t="str">
        <f>"0223-37-1131  "</f>
        <v xml:space="preserve">0223-37-1131  </v>
      </c>
      <c r="G139" s="3" t="s">
        <v>169</v>
      </c>
    </row>
    <row r="140" spans="1:7" ht="37.5" x14ac:dyDescent="0.4">
      <c r="A140" s="2">
        <v>139</v>
      </c>
      <c r="B140" s="2" t="s">
        <v>992</v>
      </c>
      <c r="C140" s="2" t="s">
        <v>1000</v>
      </c>
      <c r="D140" s="3" t="s">
        <v>24</v>
      </c>
      <c r="E140" s="3" t="s">
        <v>999</v>
      </c>
      <c r="F140" s="2" t="str">
        <f>"0223-37-1131  "</f>
        <v xml:space="preserve">0223-37-1131  </v>
      </c>
      <c r="G140" s="3" t="s">
        <v>26</v>
      </c>
    </row>
    <row r="141" spans="1:7" ht="37.5" x14ac:dyDescent="0.4">
      <c r="A141" s="2">
        <v>140</v>
      </c>
      <c r="B141" s="2" t="s">
        <v>992</v>
      </c>
      <c r="C141" s="2" t="s">
        <v>998</v>
      </c>
      <c r="D141" s="3" t="s">
        <v>997</v>
      </c>
      <c r="E141" s="3" t="str">
        <f>"亘理郡亘理町吉田字松崎７０－１"</f>
        <v>亘理郡亘理町吉田字松崎７０－１</v>
      </c>
      <c r="F141" s="2" t="str">
        <f>"0223-34-3003  "</f>
        <v xml:space="preserve">0223-34-3003  </v>
      </c>
      <c r="G141" s="3" t="s">
        <v>26</v>
      </c>
    </row>
    <row r="142" spans="1:7" ht="37.5" x14ac:dyDescent="0.4">
      <c r="A142" s="2">
        <v>141</v>
      </c>
      <c r="B142" s="2" t="s">
        <v>992</v>
      </c>
      <c r="C142" s="2" t="s">
        <v>996</v>
      </c>
      <c r="D142" s="3" t="s">
        <v>995</v>
      </c>
      <c r="E142" s="3" t="s">
        <v>994</v>
      </c>
      <c r="F142" s="2" t="str">
        <f>"0223-33-1811  "</f>
        <v xml:space="preserve">0223-33-1811  </v>
      </c>
      <c r="G142" s="3" t="s">
        <v>993</v>
      </c>
    </row>
    <row r="143" spans="1:7" x14ac:dyDescent="0.4">
      <c r="A143" s="2">
        <v>142</v>
      </c>
      <c r="B143" s="2" t="s">
        <v>992</v>
      </c>
      <c r="C143" s="2" t="s">
        <v>991</v>
      </c>
      <c r="D143" s="3" t="s">
        <v>990</v>
      </c>
      <c r="E143" s="3" t="str">
        <f>"亘理郡亘理町字裏城戸179-1"</f>
        <v>亘理郡亘理町字裏城戸179-1</v>
      </c>
      <c r="F143" s="2" t="str">
        <f>"0223-34-3711  "</f>
        <v xml:space="preserve">0223-34-3711  </v>
      </c>
      <c r="G143" s="3" t="s">
        <v>400</v>
      </c>
    </row>
    <row r="144" spans="1:7" x14ac:dyDescent="0.4">
      <c r="A144" s="2">
        <v>143</v>
      </c>
      <c r="B144" s="2" t="s">
        <v>4</v>
      </c>
      <c r="C144" s="2" t="s">
        <v>989</v>
      </c>
      <c r="D144" s="3" t="s">
        <v>988</v>
      </c>
      <c r="E144" s="3" t="s">
        <v>987</v>
      </c>
      <c r="F144" s="2" t="str">
        <f>"0224-72-2131  "</f>
        <v xml:space="preserve">0224-72-2131  </v>
      </c>
      <c r="G144" s="3" t="s">
        <v>26</v>
      </c>
    </row>
    <row r="145" spans="1:7" ht="37.5" x14ac:dyDescent="0.4">
      <c r="A145" s="2">
        <v>144</v>
      </c>
      <c r="B145" s="2" t="s">
        <v>4</v>
      </c>
      <c r="C145" s="2" t="s">
        <v>986</v>
      </c>
      <c r="D145" s="3" t="s">
        <v>985</v>
      </c>
      <c r="E145" s="3" t="str">
        <f>"遠田郡美里町牛飼字牛飼１３９－１"</f>
        <v>遠田郡美里町牛飼字牛飼１３９－１</v>
      </c>
      <c r="F145" s="2" t="str">
        <f>"0229-31-1230  "</f>
        <v xml:space="preserve">0229-31-1230  </v>
      </c>
      <c r="G145" s="3" t="s">
        <v>717</v>
      </c>
    </row>
    <row r="146" spans="1:7" x14ac:dyDescent="0.4">
      <c r="A146" s="2">
        <v>145</v>
      </c>
      <c r="B146" s="2" t="s">
        <v>4</v>
      </c>
      <c r="C146" s="2" t="s">
        <v>984</v>
      </c>
      <c r="D146" s="3" t="s">
        <v>983</v>
      </c>
      <c r="E146" s="3" t="s">
        <v>982</v>
      </c>
      <c r="F146" s="2" t="str">
        <f>"0229-33-2020  "</f>
        <v xml:space="preserve">0229-33-2020  </v>
      </c>
      <c r="G146" s="3" t="s">
        <v>18</v>
      </c>
    </row>
    <row r="147" spans="1:7" ht="37.5" x14ac:dyDescent="0.4">
      <c r="A147" s="2">
        <v>146</v>
      </c>
      <c r="B147" s="2" t="s">
        <v>4</v>
      </c>
      <c r="C147" s="2" t="s">
        <v>981</v>
      </c>
      <c r="D147" s="3" t="s">
        <v>980</v>
      </c>
      <c r="E147" s="3" t="str">
        <f>"遠田郡美里町南小牛田字山の神５３－４"</f>
        <v>遠田郡美里町南小牛田字山の神５３－４</v>
      </c>
      <c r="F147" s="2" t="str">
        <f>"0229-32-2011  "</f>
        <v xml:space="preserve">0229-32-2011  </v>
      </c>
      <c r="G147" s="3" t="s">
        <v>0</v>
      </c>
    </row>
    <row r="148" spans="1:7" x14ac:dyDescent="0.4">
      <c r="A148" s="2">
        <v>147</v>
      </c>
      <c r="B148" s="2" t="s">
        <v>4</v>
      </c>
      <c r="C148" s="2" t="s">
        <v>979</v>
      </c>
      <c r="D148" s="3" t="s">
        <v>978</v>
      </c>
      <c r="E148" s="3" t="str">
        <f>"遠田郡美里町北浦字姥ケ沢７２－３"</f>
        <v>遠田郡美里町北浦字姥ケ沢７２－３</v>
      </c>
      <c r="F148" s="2" t="str">
        <f>"0229-31-1188  "</f>
        <v xml:space="preserve">0229-31-1188  </v>
      </c>
      <c r="G148" s="3" t="s">
        <v>977</v>
      </c>
    </row>
    <row r="149" spans="1:7" x14ac:dyDescent="0.4">
      <c r="A149" s="2">
        <v>148</v>
      </c>
      <c r="B149" s="2" t="s">
        <v>4</v>
      </c>
      <c r="C149" s="2" t="s">
        <v>976</v>
      </c>
      <c r="D149" s="3" t="s">
        <v>975</v>
      </c>
      <c r="E149" s="3" t="s">
        <v>974</v>
      </c>
      <c r="F149" s="2" t="str">
        <f>"0229-58-1234  "</f>
        <v xml:space="preserve">0229-58-1234  </v>
      </c>
      <c r="G149" s="3" t="s">
        <v>26</v>
      </c>
    </row>
    <row r="150" spans="1:7" ht="37.5" x14ac:dyDescent="0.4">
      <c r="A150" s="2">
        <v>149</v>
      </c>
      <c r="B150" s="2" t="s">
        <v>4</v>
      </c>
      <c r="C150" s="2" t="s">
        <v>973</v>
      </c>
      <c r="D150" s="3" t="s">
        <v>972</v>
      </c>
      <c r="E150" s="3" t="str">
        <f>"遠田郡涌谷町字下道２－１"</f>
        <v>遠田郡涌谷町字下道２－１</v>
      </c>
      <c r="F150" s="2" t="str">
        <f>"0229-43-5553  "</f>
        <v xml:space="preserve">0229-43-5553  </v>
      </c>
      <c r="G150" s="3" t="s">
        <v>717</v>
      </c>
    </row>
    <row r="151" spans="1:7" x14ac:dyDescent="0.4">
      <c r="A151" s="2">
        <v>150</v>
      </c>
      <c r="B151" s="2" t="s">
        <v>4</v>
      </c>
      <c r="C151" s="2" t="s">
        <v>971</v>
      </c>
      <c r="D151" s="3" t="s">
        <v>970</v>
      </c>
      <c r="E151" s="3" t="str">
        <f>"遠田郡涌谷町字中下道１２９－１－１"</f>
        <v>遠田郡涌谷町字中下道１２９－１－１</v>
      </c>
      <c r="F151" s="2" t="str">
        <f>"0229-44-1234  "</f>
        <v xml:space="preserve">0229-44-1234  </v>
      </c>
      <c r="G151" s="3" t="s">
        <v>5</v>
      </c>
    </row>
    <row r="152" spans="1:7" x14ac:dyDescent="0.4">
      <c r="A152" s="2">
        <v>151</v>
      </c>
      <c r="B152" s="2" t="s">
        <v>4</v>
      </c>
      <c r="C152" s="2" t="s">
        <v>969</v>
      </c>
      <c r="D152" s="3" t="s">
        <v>966</v>
      </c>
      <c r="E152" s="3" t="s">
        <v>965</v>
      </c>
      <c r="F152" s="2" t="str">
        <f>"0229-43-5111  "</f>
        <v xml:space="preserve">0229-43-5111  </v>
      </c>
      <c r="G152" s="3" t="s">
        <v>26</v>
      </c>
    </row>
    <row r="153" spans="1:7" x14ac:dyDescent="0.4">
      <c r="A153" s="2">
        <v>152</v>
      </c>
      <c r="B153" s="2" t="s">
        <v>4</v>
      </c>
      <c r="C153" s="2" t="s">
        <v>968</v>
      </c>
      <c r="D153" s="3" t="s">
        <v>966</v>
      </c>
      <c r="E153" s="3" t="s">
        <v>965</v>
      </c>
      <c r="F153" s="2" t="str">
        <f>"0229-43-5111  "</f>
        <v xml:space="preserve">0229-43-5111  </v>
      </c>
      <c r="G153" s="3" t="s">
        <v>97</v>
      </c>
    </row>
    <row r="154" spans="1:7" x14ac:dyDescent="0.4">
      <c r="A154" s="2">
        <v>153</v>
      </c>
      <c r="B154" s="2" t="s">
        <v>4</v>
      </c>
      <c r="C154" s="2" t="s">
        <v>967</v>
      </c>
      <c r="D154" s="3" t="s">
        <v>966</v>
      </c>
      <c r="E154" s="3" t="s">
        <v>965</v>
      </c>
      <c r="F154" s="2" t="str">
        <f>"0229-43-5111  "</f>
        <v xml:space="preserve">0229-43-5111  </v>
      </c>
      <c r="G154" s="3" t="s">
        <v>26</v>
      </c>
    </row>
    <row r="155" spans="1:7" x14ac:dyDescent="0.4">
      <c r="A155" s="2">
        <v>154</v>
      </c>
      <c r="B155" s="2" t="s">
        <v>4</v>
      </c>
      <c r="C155" s="2" t="s">
        <v>964</v>
      </c>
      <c r="D155" s="3" t="s">
        <v>944</v>
      </c>
      <c r="E155" s="3" t="str">
        <f>"塩釜市宮町８－１５"</f>
        <v>塩釜市宮町８－１５</v>
      </c>
      <c r="F155" s="2" t="str">
        <f>"022-362-2121  "</f>
        <v xml:space="preserve">022-362-2121  </v>
      </c>
      <c r="G155" s="3" t="s">
        <v>963</v>
      </c>
    </row>
    <row r="156" spans="1:7" ht="37.5" x14ac:dyDescent="0.4">
      <c r="A156" s="2">
        <v>155</v>
      </c>
      <c r="B156" s="2" t="s">
        <v>4</v>
      </c>
      <c r="C156" s="2" t="s">
        <v>962</v>
      </c>
      <c r="D156" s="3" t="s">
        <v>957</v>
      </c>
      <c r="E156" s="3" t="s">
        <v>956</v>
      </c>
      <c r="F156" s="2" t="str">
        <f>"022-365-5175  "</f>
        <v xml:space="preserve">022-365-5175  </v>
      </c>
      <c r="G156" s="3" t="s">
        <v>426</v>
      </c>
    </row>
    <row r="157" spans="1:7" ht="37.5" x14ac:dyDescent="0.4">
      <c r="A157" s="2">
        <v>156</v>
      </c>
      <c r="B157" s="2" t="s">
        <v>4</v>
      </c>
      <c r="C157" s="2" t="s">
        <v>961</v>
      </c>
      <c r="D157" s="3" t="s">
        <v>957</v>
      </c>
      <c r="E157" s="3" t="s">
        <v>956</v>
      </c>
      <c r="F157" s="2" t="str">
        <f>"022-365-5175  "</f>
        <v xml:space="preserve">022-365-5175  </v>
      </c>
      <c r="G157" s="3" t="s">
        <v>120</v>
      </c>
    </row>
    <row r="158" spans="1:7" ht="37.5" x14ac:dyDescent="0.4">
      <c r="A158" s="2">
        <v>157</v>
      </c>
      <c r="B158" s="2" t="s">
        <v>4</v>
      </c>
      <c r="C158" s="2" t="s">
        <v>960</v>
      </c>
      <c r="D158" s="3" t="s">
        <v>957</v>
      </c>
      <c r="E158" s="3" t="s">
        <v>956</v>
      </c>
      <c r="F158" s="2" t="str">
        <f>"022-365-5175  "</f>
        <v xml:space="preserve">022-365-5175  </v>
      </c>
      <c r="G158" s="3" t="s">
        <v>32</v>
      </c>
    </row>
    <row r="159" spans="1:7" ht="37.5" x14ac:dyDescent="0.4">
      <c r="A159" s="2">
        <v>158</v>
      </c>
      <c r="B159" s="2" t="s">
        <v>4</v>
      </c>
      <c r="C159" s="2" t="s">
        <v>959</v>
      </c>
      <c r="D159" s="3" t="s">
        <v>957</v>
      </c>
      <c r="E159" s="3" t="s">
        <v>956</v>
      </c>
      <c r="F159" s="2" t="str">
        <f>"022-365-5175  "</f>
        <v xml:space="preserve">022-365-5175  </v>
      </c>
      <c r="G159" s="3" t="s">
        <v>97</v>
      </c>
    </row>
    <row r="160" spans="1:7" ht="37.5" x14ac:dyDescent="0.4">
      <c r="A160" s="2">
        <v>159</v>
      </c>
      <c r="B160" s="2" t="s">
        <v>4</v>
      </c>
      <c r="C160" s="2" t="s">
        <v>958</v>
      </c>
      <c r="D160" s="3" t="s">
        <v>957</v>
      </c>
      <c r="E160" s="3" t="s">
        <v>956</v>
      </c>
      <c r="F160" s="2" t="str">
        <f>"022-365-5175  "</f>
        <v xml:space="preserve">022-365-5175  </v>
      </c>
      <c r="G160" s="3" t="s">
        <v>53</v>
      </c>
    </row>
    <row r="161" spans="1:7" x14ac:dyDescent="0.4">
      <c r="A161" s="2">
        <v>160</v>
      </c>
      <c r="B161" s="2" t="s">
        <v>4</v>
      </c>
      <c r="C161" s="2" t="s">
        <v>955</v>
      </c>
      <c r="D161" s="3" t="s">
        <v>954</v>
      </c>
      <c r="E161" s="3" t="str">
        <f>"塩竈市旭町５－１０"</f>
        <v>塩竈市旭町５－１０</v>
      </c>
      <c r="F161" s="2" t="str">
        <f>"022-362-2026  "</f>
        <v xml:space="preserve">022-362-2026  </v>
      </c>
      <c r="G161" s="3" t="s">
        <v>549</v>
      </c>
    </row>
    <row r="162" spans="1:7" x14ac:dyDescent="0.4">
      <c r="A162" s="2">
        <v>161</v>
      </c>
      <c r="B162" s="2" t="s">
        <v>4</v>
      </c>
      <c r="C162" s="2" t="s">
        <v>953</v>
      </c>
      <c r="D162" s="3" t="s">
        <v>948</v>
      </c>
      <c r="E162" s="3" t="str">
        <f>"塩竈市花立町２２－４２"</f>
        <v>塩竈市花立町２２－４２</v>
      </c>
      <c r="F162" s="2" t="str">
        <f>"022-362-8131  "</f>
        <v xml:space="preserve">022-362-8131  </v>
      </c>
      <c r="G162" s="3" t="s">
        <v>495</v>
      </c>
    </row>
    <row r="163" spans="1:7" x14ac:dyDescent="0.4">
      <c r="A163" s="2">
        <v>162</v>
      </c>
      <c r="B163" s="2" t="s">
        <v>4</v>
      </c>
      <c r="C163" s="2" t="s">
        <v>952</v>
      </c>
      <c r="D163" s="3" t="s">
        <v>948</v>
      </c>
      <c r="E163" s="3" t="str">
        <f>"塩竈市花立町２２－４２"</f>
        <v>塩竈市花立町２２－４２</v>
      </c>
      <c r="F163" s="2" t="str">
        <f>"022-362-8131  "</f>
        <v xml:space="preserve">022-362-8131  </v>
      </c>
      <c r="G163" s="3" t="s">
        <v>115</v>
      </c>
    </row>
    <row r="164" spans="1:7" x14ac:dyDescent="0.4">
      <c r="A164" s="2">
        <v>163</v>
      </c>
      <c r="B164" s="2" t="s">
        <v>4</v>
      </c>
      <c r="C164" s="2" t="s">
        <v>951</v>
      </c>
      <c r="D164" s="3" t="s">
        <v>948</v>
      </c>
      <c r="E164" s="3" t="str">
        <f>"塩竈市花立町２２－４２"</f>
        <v>塩竈市花立町２２－４２</v>
      </c>
      <c r="F164" s="2" t="str">
        <f>"022-362-8131  "</f>
        <v xml:space="preserve">022-362-8131  </v>
      </c>
      <c r="G164" s="3" t="s">
        <v>115</v>
      </c>
    </row>
    <row r="165" spans="1:7" x14ac:dyDescent="0.4">
      <c r="A165" s="2">
        <v>164</v>
      </c>
      <c r="B165" s="2" t="s">
        <v>4</v>
      </c>
      <c r="C165" s="2" t="s">
        <v>950</v>
      </c>
      <c r="D165" s="3" t="s">
        <v>948</v>
      </c>
      <c r="E165" s="3" t="str">
        <f>"塩竈市花立町２２－４２"</f>
        <v>塩竈市花立町２２－４２</v>
      </c>
      <c r="F165" s="2" t="str">
        <f>"022-362-8131  "</f>
        <v xml:space="preserve">022-362-8131  </v>
      </c>
      <c r="G165" s="3" t="s">
        <v>115</v>
      </c>
    </row>
    <row r="166" spans="1:7" x14ac:dyDescent="0.4">
      <c r="A166" s="2">
        <v>165</v>
      </c>
      <c r="B166" s="2" t="s">
        <v>4</v>
      </c>
      <c r="C166" s="2" t="s">
        <v>949</v>
      </c>
      <c r="D166" s="3" t="s">
        <v>948</v>
      </c>
      <c r="E166" s="3" t="str">
        <f>"塩竈市花立町２２－４２"</f>
        <v>塩竈市花立町２２－４２</v>
      </c>
      <c r="F166" s="2" t="str">
        <f>"022-362-8131  "</f>
        <v xml:space="preserve">022-362-8131  </v>
      </c>
      <c r="G166" s="3" t="s">
        <v>28</v>
      </c>
    </row>
    <row r="167" spans="1:7" x14ac:dyDescent="0.4">
      <c r="A167" s="2">
        <v>166</v>
      </c>
      <c r="B167" s="2" t="s">
        <v>4</v>
      </c>
      <c r="C167" s="2" t="s">
        <v>947</v>
      </c>
      <c r="D167" s="3" t="s">
        <v>946</v>
      </c>
      <c r="E167" s="3" t="str">
        <f>"塩竈市宮町３－２５"</f>
        <v>塩竈市宮町３－２５</v>
      </c>
      <c r="F167" s="2" t="str">
        <f>"022-365-1523  "</f>
        <v xml:space="preserve">022-365-1523  </v>
      </c>
      <c r="G167" s="3" t="s">
        <v>5</v>
      </c>
    </row>
    <row r="168" spans="1:7" x14ac:dyDescent="0.4">
      <c r="A168" s="2">
        <v>167</v>
      </c>
      <c r="B168" s="2" t="s">
        <v>4</v>
      </c>
      <c r="C168" s="2" t="s">
        <v>945</v>
      </c>
      <c r="D168" s="3" t="s">
        <v>944</v>
      </c>
      <c r="E168" s="3" t="str">
        <f>"塩竈市宮町８－１５"</f>
        <v>塩竈市宮町８－１５</v>
      </c>
      <c r="F168" s="2" t="str">
        <f>"022-362-2121  "</f>
        <v xml:space="preserve">022-362-2121  </v>
      </c>
      <c r="G168" s="3" t="s">
        <v>5</v>
      </c>
    </row>
    <row r="169" spans="1:7" x14ac:dyDescent="0.4">
      <c r="A169" s="2">
        <v>168</v>
      </c>
      <c r="B169" s="2" t="s">
        <v>4</v>
      </c>
      <c r="C169" s="2" t="s">
        <v>943</v>
      </c>
      <c r="D169" s="3" t="s">
        <v>942</v>
      </c>
      <c r="E169" s="3" t="str">
        <f>"塩竈市玉川１－９－７"</f>
        <v>塩竈市玉川１－９－７</v>
      </c>
      <c r="F169" s="2" t="str">
        <f>"022-361-6711  "</f>
        <v xml:space="preserve">022-361-6711  </v>
      </c>
      <c r="G169" s="3" t="s">
        <v>97</v>
      </c>
    </row>
    <row r="170" spans="1:7" x14ac:dyDescent="0.4">
      <c r="A170" s="2">
        <v>169</v>
      </c>
      <c r="B170" s="2" t="s">
        <v>4</v>
      </c>
      <c r="C170" s="2" t="s">
        <v>941</v>
      </c>
      <c r="D170" s="3" t="s">
        <v>940</v>
      </c>
      <c r="E170" s="3" t="s">
        <v>939</v>
      </c>
      <c r="F170" s="2" t="str">
        <f>"022-365-1363  "</f>
        <v xml:space="preserve">022-365-1363  </v>
      </c>
      <c r="G170" s="3" t="s">
        <v>383</v>
      </c>
    </row>
    <row r="171" spans="1:7" ht="37.5" x14ac:dyDescent="0.4">
      <c r="A171" s="2">
        <v>170</v>
      </c>
      <c r="B171" s="2" t="s">
        <v>4</v>
      </c>
      <c r="C171" s="2" t="s">
        <v>938</v>
      </c>
      <c r="D171" s="3" t="s">
        <v>920</v>
      </c>
      <c r="E171" s="3" t="str">
        <f t="shared" ref="E171:E177" si="0">"塩竈市錦町１６－５"</f>
        <v>塩竈市錦町１６－５</v>
      </c>
      <c r="F171" s="2" t="str">
        <f t="shared" ref="F171:F185" si="1">"022-365-5175  "</f>
        <v xml:space="preserve">022-365-5175  </v>
      </c>
      <c r="G171" s="3" t="s">
        <v>53</v>
      </c>
    </row>
    <row r="172" spans="1:7" ht="37.5" x14ac:dyDescent="0.4">
      <c r="A172" s="2">
        <v>171</v>
      </c>
      <c r="B172" s="2" t="s">
        <v>4</v>
      </c>
      <c r="C172" s="2" t="s">
        <v>937</v>
      </c>
      <c r="D172" s="3" t="s">
        <v>920</v>
      </c>
      <c r="E172" s="3" t="str">
        <f t="shared" si="0"/>
        <v>塩竈市錦町１６－５</v>
      </c>
      <c r="F172" s="2" t="str">
        <f t="shared" si="1"/>
        <v xml:space="preserve">022-365-5175  </v>
      </c>
      <c r="G172" s="3" t="s">
        <v>32</v>
      </c>
    </row>
    <row r="173" spans="1:7" ht="37.5" x14ac:dyDescent="0.4">
      <c r="A173" s="2">
        <v>172</v>
      </c>
      <c r="B173" s="2" t="s">
        <v>4</v>
      </c>
      <c r="C173" s="2" t="s">
        <v>936</v>
      </c>
      <c r="D173" s="3" t="s">
        <v>920</v>
      </c>
      <c r="E173" s="3" t="str">
        <f t="shared" si="0"/>
        <v>塩竈市錦町１６－５</v>
      </c>
      <c r="F173" s="2" t="str">
        <f t="shared" si="1"/>
        <v xml:space="preserve">022-365-5175  </v>
      </c>
      <c r="G173" s="3" t="s">
        <v>26</v>
      </c>
    </row>
    <row r="174" spans="1:7" ht="37.5" x14ac:dyDescent="0.4">
      <c r="A174" s="2">
        <v>173</v>
      </c>
      <c r="B174" s="2" t="s">
        <v>4</v>
      </c>
      <c r="C174" s="2" t="s">
        <v>935</v>
      </c>
      <c r="D174" s="3" t="s">
        <v>920</v>
      </c>
      <c r="E174" s="3" t="str">
        <f t="shared" si="0"/>
        <v>塩竈市錦町１６－５</v>
      </c>
      <c r="F174" s="2" t="str">
        <f t="shared" si="1"/>
        <v xml:space="preserve">022-365-5175  </v>
      </c>
      <c r="G174" s="3" t="s">
        <v>115</v>
      </c>
    </row>
    <row r="175" spans="1:7" ht="37.5" x14ac:dyDescent="0.4">
      <c r="A175" s="2">
        <v>174</v>
      </c>
      <c r="B175" s="2" t="s">
        <v>4</v>
      </c>
      <c r="C175" s="2" t="s">
        <v>934</v>
      </c>
      <c r="D175" s="3" t="s">
        <v>920</v>
      </c>
      <c r="E175" s="3" t="str">
        <f t="shared" si="0"/>
        <v>塩竈市錦町１６－５</v>
      </c>
      <c r="F175" s="2" t="str">
        <f t="shared" si="1"/>
        <v xml:space="preserve">022-365-5175  </v>
      </c>
      <c r="G175" s="3" t="s">
        <v>927</v>
      </c>
    </row>
    <row r="176" spans="1:7" ht="37.5" x14ac:dyDescent="0.4">
      <c r="A176" s="2">
        <v>175</v>
      </c>
      <c r="B176" s="2" t="s">
        <v>4</v>
      </c>
      <c r="C176" s="2" t="s">
        <v>933</v>
      </c>
      <c r="D176" s="3" t="s">
        <v>920</v>
      </c>
      <c r="E176" s="3" t="str">
        <f t="shared" si="0"/>
        <v>塩竈市錦町１６－５</v>
      </c>
      <c r="F176" s="2" t="str">
        <f t="shared" si="1"/>
        <v xml:space="preserve">022-365-5175  </v>
      </c>
      <c r="G176" s="3" t="s">
        <v>115</v>
      </c>
    </row>
    <row r="177" spans="1:7" ht="37.5" x14ac:dyDescent="0.4">
      <c r="A177" s="2">
        <v>176</v>
      </c>
      <c r="B177" s="2" t="s">
        <v>4</v>
      </c>
      <c r="C177" s="2" t="s">
        <v>932</v>
      </c>
      <c r="D177" s="3" t="s">
        <v>920</v>
      </c>
      <c r="E177" s="3" t="str">
        <f t="shared" si="0"/>
        <v>塩竈市錦町１６－５</v>
      </c>
      <c r="F177" s="2" t="str">
        <f t="shared" si="1"/>
        <v xml:space="preserve">022-365-5175  </v>
      </c>
      <c r="G177" s="3" t="s">
        <v>423</v>
      </c>
    </row>
    <row r="178" spans="1:7" ht="37.5" x14ac:dyDescent="0.4">
      <c r="A178" s="2">
        <v>177</v>
      </c>
      <c r="B178" s="2" t="s">
        <v>4</v>
      </c>
      <c r="C178" s="2" t="s">
        <v>931</v>
      </c>
      <c r="D178" s="3" t="s">
        <v>920</v>
      </c>
      <c r="E178" s="3" t="s">
        <v>919</v>
      </c>
      <c r="F178" s="2" t="str">
        <f t="shared" si="1"/>
        <v xml:space="preserve">022-365-5175  </v>
      </c>
      <c r="G178" s="3" t="s">
        <v>930</v>
      </c>
    </row>
    <row r="179" spans="1:7" ht="37.5" x14ac:dyDescent="0.4">
      <c r="A179" s="2">
        <v>178</v>
      </c>
      <c r="B179" s="2" t="s">
        <v>4</v>
      </c>
      <c r="C179" s="2" t="s">
        <v>929</v>
      </c>
      <c r="D179" s="3" t="s">
        <v>920</v>
      </c>
      <c r="E179" s="3" t="s">
        <v>919</v>
      </c>
      <c r="F179" s="2" t="str">
        <f t="shared" si="1"/>
        <v xml:space="preserve">022-365-5175  </v>
      </c>
      <c r="G179" s="3" t="s">
        <v>426</v>
      </c>
    </row>
    <row r="180" spans="1:7" ht="37.5" x14ac:dyDescent="0.4">
      <c r="A180" s="2">
        <v>179</v>
      </c>
      <c r="B180" s="2" t="s">
        <v>4</v>
      </c>
      <c r="C180" s="2" t="s">
        <v>928</v>
      </c>
      <c r="D180" s="3" t="s">
        <v>920</v>
      </c>
      <c r="E180" s="3" t="s">
        <v>919</v>
      </c>
      <c r="F180" s="2" t="str">
        <f t="shared" si="1"/>
        <v xml:space="preserve">022-365-5175  </v>
      </c>
      <c r="G180" s="3" t="s">
        <v>927</v>
      </c>
    </row>
    <row r="181" spans="1:7" ht="37.5" x14ac:dyDescent="0.4">
      <c r="A181" s="2">
        <v>180</v>
      </c>
      <c r="B181" s="2" t="s">
        <v>4</v>
      </c>
      <c r="C181" s="2" t="s">
        <v>926</v>
      </c>
      <c r="D181" s="3" t="s">
        <v>920</v>
      </c>
      <c r="E181" s="3" t="s">
        <v>919</v>
      </c>
      <c r="F181" s="2" t="str">
        <f t="shared" si="1"/>
        <v xml:space="preserve">022-365-5175  </v>
      </c>
      <c r="G181" s="3" t="s">
        <v>53</v>
      </c>
    </row>
    <row r="182" spans="1:7" ht="37.5" x14ac:dyDescent="0.4">
      <c r="A182" s="2">
        <v>181</v>
      </c>
      <c r="B182" s="2" t="s">
        <v>4</v>
      </c>
      <c r="C182" s="2" t="s">
        <v>925</v>
      </c>
      <c r="D182" s="3" t="s">
        <v>920</v>
      </c>
      <c r="E182" s="3" t="s">
        <v>919</v>
      </c>
      <c r="F182" s="2" t="str">
        <f t="shared" si="1"/>
        <v xml:space="preserve">022-365-5175  </v>
      </c>
      <c r="G182" s="3" t="s">
        <v>924</v>
      </c>
    </row>
    <row r="183" spans="1:7" ht="37.5" x14ac:dyDescent="0.4">
      <c r="A183" s="2">
        <v>182</v>
      </c>
      <c r="B183" s="2" t="s">
        <v>4</v>
      </c>
      <c r="C183" s="2" t="s">
        <v>923</v>
      </c>
      <c r="D183" s="3" t="s">
        <v>920</v>
      </c>
      <c r="E183" s="3" t="s">
        <v>919</v>
      </c>
      <c r="F183" s="2" t="str">
        <f t="shared" si="1"/>
        <v xml:space="preserve">022-365-5175  </v>
      </c>
      <c r="G183" s="3" t="s">
        <v>426</v>
      </c>
    </row>
    <row r="184" spans="1:7" ht="37.5" x14ac:dyDescent="0.4">
      <c r="A184" s="2">
        <v>183</v>
      </c>
      <c r="B184" s="2" t="s">
        <v>4</v>
      </c>
      <c r="C184" s="2" t="s">
        <v>922</v>
      </c>
      <c r="D184" s="3" t="s">
        <v>920</v>
      </c>
      <c r="E184" s="3" t="s">
        <v>919</v>
      </c>
      <c r="F184" s="2" t="str">
        <f t="shared" si="1"/>
        <v xml:space="preserve">022-365-5175  </v>
      </c>
      <c r="G184" s="3" t="s">
        <v>115</v>
      </c>
    </row>
    <row r="185" spans="1:7" ht="37.5" x14ac:dyDescent="0.4">
      <c r="A185" s="2">
        <v>184</v>
      </c>
      <c r="B185" s="2" t="s">
        <v>4</v>
      </c>
      <c r="C185" s="2" t="s">
        <v>921</v>
      </c>
      <c r="D185" s="3" t="s">
        <v>920</v>
      </c>
      <c r="E185" s="3" t="s">
        <v>919</v>
      </c>
      <c r="F185" s="2" t="str">
        <f t="shared" si="1"/>
        <v xml:space="preserve">022-365-5175  </v>
      </c>
      <c r="G185" s="3" t="s">
        <v>115</v>
      </c>
    </row>
    <row r="186" spans="1:7" x14ac:dyDescent="0.4">
      <c r="A186" s="2">
        <v>185</v>
      </c>
      <c r="B186" s="2" t="s">
        <v>4</v>
      </c>
      <c r="C186" s="2" t="s">
        <v>918</v>
      </c>
      <c r="D186" s="3" t="s">
        <v>916</v>
      </c>
      <c r="E186" s="3" t="str">
        <f>"塩竈市庚塚１－３"</f>
        <v>塩竈市庚塚１－３</v>
      </c>
      <c r="F186" s="2" t="str">
        <f>"022-366-7251  "</f>
        <v xml:space="preserve">022-366-7251  </v>
      </c>
      <c r="G186" s="3" t="s">
        <v>79</v>
      </c>
    </row>
    <row r="187" spans="1:7" x14ac:dyDescent="0.4">
      <c r="A187" s="2">
        <v>186</v>
      </c>
      <c r="B187" s="2" t="s">
        <v>4</v>
      </c>
      <c r="C187" s="2" t="s">
        <v>917</v>
      </c>
      <c r="D187" s="3" t="s">
        <v>916</v>
      </c>
      <c r="E187" s="3" t="str">
        <f>"塩竈市庚塚１－３"</f>
        <v>塩竈市庚塚１－３</v>
      </c>
      <c r="F187" s="2" t="str">
        <f>"022-366-7251  "</f>
        <v xml:space="preserve">022-366-7251  </v>
      </c>
      <c r="G187" s="3" t="s">
        <v>26</v>
      </c>
    </row>
    <row r="188" spans="1:7" x14ac:dyDescent="0.4">
      <c r="A188" s="2">
        <v>187</v>
      </c>
      <c r="B188" s="2" t="s">
        <v>4</v>
      </c>
      <c r="C188" s="2" t="s">
        <v>915</v>
      </c>
      <c r="D188" s="3" t="s">
        <v>905</v>
      </c>
      <c r="E188" s="3" t="str">
        <f t="shared" ref="E188:E193" si="2">"塩竈市香津町７－１"</f>
        <v>塩竈市香津町７－１</v>
      </c>
      <c r="F188" s="2" t="str">
        <f t="shared" ref="F188:F196" si="3">"022-364-5521  "</f>
        <v xml:space="preserve">022-364-5521  </v>
      </c>
      <c r="G188" s="3" t="s">
        <v>26</v>
      </c>
    </row>
    <row r="189" spans="1:7" x14ac:dyDescent="0.4">
      <c r="A189" s="2">
        <v>188</v>
      </c>
      <c r="B189" s="2" t="s">
        <v>4</v>
      </c>
      <c r="C189" s="2" t="s">
        <v>914</v>
      </c>
      <c r="D189" s="3" t="s">
        <v>905</v>
      </c>
      <c r="E189" s="3" t="str">
        <f t="shared" si="2"/>
        <v>塩竈市香津町７－１</v>
      </c>
      <c r="F189" s="2" t="str">
        <f t="shared" si="3"/>
        <v xml:space="preserve">022-364-5521  </v>
      </c>
      <c r="G189" s="3" t="s">
        <v>115</v>
      </c>
    </row>
    <row r="190" spans="1:7" x14ac:dyDescent="0.4">
      <c r="A190" s="2">
        <v>189</v>
      </c>
      <c r="B190" s="2" t="s">
        <v>4</v>
      </c>
      <c r="C190" s="2" t="s">
        <v>913</v>
      </c>
      <c r="D190" s="3" t="s">
        <v>905</v>
      </c>
      <c r="E190" s="3" t="str">
        <f t="shared" si="2"/>
        <v>塩竈市香津町７－１</v>
      </c>
      <c r="F190" s="2" t="str">
        <f t="shared" si="3"/>
        <v xml:space="preserve">022-364-5521  </v>
      </c>
      <c r="G190" s="3" t="s">
        <v>97</v>
      </c>
    </row>
    <row r="191" spans="1:7" x14ac:dyDescent="0.4">
      <c r="A191" s="2">
        <v>190</v>
      </c>
      <c r="B191" s="2" t="s">
        <v>4</v>
      </c>
      <c r="C191" s="2" t="s">
        <v>912</v>
      </c>
      <c r="D191" s="3" t="s">
        <v>905</v>
      </c>
      <c r="E191" s="3" t="str">
        <f t="shared" si="2"/>
        <v>塩竈市香津町７－１</v>
      </c>
      <c r="F191" s="2" t="str">
        <f t="shared" si="3"/>
        <v xml:space="preserve">022-364-5521  </v>
      </c>
      <c r="G191" s="3" t="s">
        <v>115</v>
      </c>
    </row>
    <row r="192" spans="1:7" x14ac:dyDescent="0.4">
      <c r="A192" s="2">
        <v>191</v>
      </c>
      <c r="B192" s="2" t="s">
        <v>4</v>
      </c>
      <c r="C192" s="2" t="s">
        <v>911</v>
      </c>
      <c r="D192" s="3" t="s">
        <v>905</v>
      </c>
      <c r="E192" s="3" t="str">
        <f t="shared" si="2"/>
        <v>塩竈市香津町７－１</v>
      </c>
      <c r="F192" s="2" t="str">
        <f t="shared" si="3"/>
        <v xml:space="preserve">022-364-5521  </v>
      </c>
      <c r="G192" s="3" t="s">
        <v>169</v>
      </c>
    </row>
    <row r="193" spans="1:7" x14ac:dyDescent="0.4">
      <c r="A193" s="2">
        <v>192</v>
      </c>
      <c r="B193" s="2" t="s">
        <v>4</v>
      </c>
      <c r="C193" s="2" t="s">
        <v>910</v>
      </c>
      <c r="D193" s="3" t="s">
        <v>905</v>
      </c>
      <c r="E193" s="3" t="str">
        <f t="shared" si="2"/>
        <v>塩竈市香津町７－１</v>
      </c>
      <c r="F193" s="2" t="str">
        <f t="shared" si="3"/>
        <v xml:space="preserve">022-364-5521  </v>
      </c>
      <c r="G193" s="3" t="s">
        <v>115</v>
      </c>
    </row>
    <row r="194" spans="1:7" x14ac:dyDescent="0.4">
      <c r="A194" s="2">
        <v>193</v>
      </c>
      <c r="B194" s="2" t="s">
        <v>4</v>
      </c>
      <c r="C194" s="2" t="s">
        <v>909</v>
      </c>
      <c r="D194" s="3" t="s">
        <v>905</v>
      </c>
      <c r="E194" s="3" t="s">
        <v>907</v>
      </c>
      <c r="F194" s="2" t="str">
        <f t="shared" si="3"/>
        <v xml:space="preserve">022-364-5521  </v>
      </c>
      <c r="G194" s="3" t="s">
        <v>26</v>
      </c>
    </row>
    <row r="195" spans="1:7" x14ac:dyDescent="0.4">
      <c r="A195" s="2">
        <v>194</v>
      </c>
      <c r="B195" s="2" t="s">
        <v>4</v>
      </c>
      <c r="C195" s="2" t="s">
        <v>908</v>
      </c>
      <c r="D195" s="3" t="s">
        <v>905</v>
      </c>
      <c r="E195" s="3" t="s">
        <v>907</v>
      </c>
      <c r="F195" s="2" t="str">
        <f t="shared" si="3"/>
        <v xml:space="preserve">022-364-5521  </v>
      </c>
      <c r="G195" s="3" t="s">
        <v>53</v>
      </c>
    </row>
    <row r="196" spans="1:7" x14ac:dyDescent="0.4">
      <c r="A196" s="2">
        <v>195</v>
      </c>
      <c r="B196" s="2" t="s">
        <v>4</v>
      </c>
      <c r="C196" s="2" t="s">
        <v>906</v>
      </c>
      <c r="D196" s="3" t="s">
        <v>905</v>
      </c>
      <c r="E196" s="3" t="s">
        <v>904</v>
      </c>
      <c r="F196" s="2" t="str">
        <f t="shared" si="3"/>
        <v xml:space="preserve">022-364-5521  </v>
      </c>
      <c r="G196" s="3" t="s">
        <v>9</v>
      </c>
    </row>
    <row r="197" spans="1:7" x14ac:dyDescent="0.4">
      <c r="A197" s="2">
        <v>196</v>
      </c>
      <c r="B197" s="2" t="s">
        <v>4</v>
      </c>
      <c r="C197" s="2" t="s">
        <v>903</v>
      </c>
      <c r="D197" s="3" t="s">
        <v>902</v>
      </c>
      <c r="E197" s="3" t="str">
        <f>"塩竈市西玉川町１－１６"</f>
        <v>塩竈市西玉川町１－１６</v>
      </c>
      <c r="F197" s="2" t="str">
        <f>"022-362-5555  "</f>
        <v xml:space="preserve">022-362-5555  </v>
      </c>
      <c r="G197" s="3" t="s">
        <v>26</v>
      </c>
    </row>
    <row r="198" spans="1:7" ht="37.5" x14ac:dyDescent="0.4">
      <c r="A198" s="2">
        <v>197</v>
      </c>
      <c r="B198" s="2" t="s">
        <v>4</v>
      </c>
      <c r="C198" s="2" t="s">
        <v>901</v>
      </c>
      <c r="D198" s="3" t="s">
        <v>900</v>
      </c>
      <c r="E198" s="3" t="str">
        <f>"塩竈市東玉川町２－２８"</f>
        <v>塩竈市東玉川町２－２８</v>
      </c>
      <c r="F198" s="2" t="str">
        <f>"022-361-3577  "</f>
        <v xml:space="preserve">022-361-3577  </v>
      </c>
      <c r="G198" s="3" t="s">
        <v>899</v>
      </c>
    </row>
    <row r="199" spans="1:7" x14ac:dyDescent="0.4">
      <c r="A199" s="2">
        <v>198</v>
      </c>
      <c r="B199" s="2" t="s">
        <v>4</v>
      </c>
      <c r="C199" s="2" t="s">
        <v>898</v>
      </c>
      <c r="D199" s="3" t="s">
        <v>897</v>
      </c>
      <c r="E199" s="3" t="str">
        <f>"塩竈市藤倉２－４－２０"</f>
        <v>塩竈市藤倉２－４－２０</v>
      </c>
      <c r="F199" s="2" t="str">
        <f>"022-365-6818  "</f>
        <v xml:space="preserve">022-365-6818  </v>
      </c>
      <c r="G199" s="3" t="s">
        <v>97</v>
      </c>
    </row>
    <row r="200" spans="1:7" ht="37.5" x14ac:dyDescent="0.4">
      <c r="A200" s="2">
        <v>199</v>
      </c>
      <c r="B200" s="2" t="s">
        <v>4</v>
      </c>
      <c r="C200" s="2" t="s">
        <v>896</v>
      </c>
      <c r="D200" s="3" t="s">
        <v>895</v>
      </c>
      <c r="E200" s="3" t="s">
        <v>894</v>
      </c>
      <c r="F200" s="2" t="str">
        <f>"022-361-0211  "</f>
        <v xml:space="preserve">022-361-0211  </v>
      </c>
      <c r="G200" s="3" t="s">
        <v>18</v>
      </c>
    </row>
    <row r="201" spans="1:7" x14ac:dyDescent="0.4">
      <c r="A201" s="2">
        <v>200</v>
      </c>
      <c r="B201" s="2" t="s">
        <v>4</v>
      </c>
      <c r="C201" s="2" t="s">
        <v>893</v>
      </c>
      <c r="D201" s="3" t="s">
        <v>892</v>
      </c>
      <c r="E201" s="3" t="str">
        <f>"塩竈市北浜1丁目7-7"</f>
        <v>塩竈市北浜1丁目7-7</v>
      </c>
      <c r="F201" s="2" t="str">
        <f>"022-355-9933  "</f>
        <v xml:space="preserve">022-355-9933  </v>
      </c>
      <c r="G201" s="3" t="s">
        <v>75</v>
      </c>
    </row>
    <row r="202" spans="1:7" x14ac:dyDescent="0.4">
      <c r="A202" s="2">
        <v>201</v>
      </c>
      <c r="B202" s="2" t="s">
        <v>4</v>
      </c>
      <c r="C202" s="2" t="s">
        <v>891</v>
      </c>
      <c r="D202" s="3" t="s">
        <v>890</v>
      </c>
      <c r="E202" s="3" t="s">
        <v>889</v>
      </c>
      <c r="F202" s="2" t="str">
        <f>"0225-53-5511  "</f>
        <v xml:space="preserve">0225-53-5511  </v>
      </c>
      <c r="G202" s="3" t="s">
        <v>26</v>
      </c>
    </row>
    <row r="203" spans="1:7" ht="37.5" x14ac:dyDescent="0.4">
      <c r="A203" s="2">
        <v>202</v>
      </c>
      <c r="B203" s="2" t="s">
        <v>4</v>
      </c>
      <c r="C203" s="2" t="s">
        <v>888</v>
      </c>
      <c r="D203" s="3" t="s">
        <v>887</v>
      </c>
      <c r="E203" s="3" t="str">
        <f>"加美郡加美町下原３８－３"</f>
        <v>加美郡加美町下原３８－３</v>
      </c>
      <c r="F203" s="2" t="str">
        <f>"0229-67-2228  "</f>
        <v xml:space="preserve">0229-67-2228  </v>
      </c>
      <c r="G203" s="3" t="s">
        <v>886</v>
      </c>
    </row>
    <row r="204" spans="1:7" x14ac:dyDescent="0.4">
      <c r="A204" s="2">
        <v>203</v>
      </c>
      <c r="B204" s="2" t="s">
        <v>4</v>
      </c>
      <c r="C204" s="2" t="s">
        <v>885</v>
      </c>
      <c r="D204" s="3" t="s">
        <v>884</v>
      </c>
      <c r="E204" s="3" t="s">
        <v>883</v>
      </c>
      <c r="F204" s="2" t="str">
        <f>"0229-63-2025  "</f>
        <v xml:space="preserve">0229-63-2025  </v>
      </c>
      <c r="G204" s="3" t="s">
        <v>79</v>
      </c>
    </row>
    <row r="205" spans="1:7" ht="37.5" x14ac:dyDescent="0.4">
      <c r="A205" s="2">
        <v>204</v>
      </c>
      <c r="B205" s="2" t="s">
        <v>4</v>
      </c>
      <c r="C205" s="2" t="s">
        <v>882</v>
      </c>
      <c r="D205" s="3" t="s">
        <v>881</v>
      </c>
      <c r="E205" s="3" t="s">
        <v>880</v>
      </c>
      <c r="F205" s="2" t="str">
        <f>"0229-63-3324  "</f>
        <v xml:space="preserve">0229-63-3324  </v>
      </c>
      <c r="G205" s="3" t="s">
        <v>634</v>
      </c>
    </row>
    <row r="206" spans="1:7" x14ac:dyDescent="0.4">
      <c r="A206" s="2">
        <v>205</v>
      </c>
      <c r="B206" s="2" t="s">
        <v>4</v>
      </c>
      <c r="C206" s="2" t="s">
        <v>879</v>
      </c>
      <c r="D206" s="3" t="s">
        <v>878</v>
      </c>
      <c r="E206" s="3" t="s">
        <v>877</v>
      </c>
      <c r="F206" s="2" t="str">
        <f>"0229-87-5963  "</f>
        <v xml:space="preserve">0229-87-5963  </v>
      </c>
      <c r="G206" s="3" t="s">
        <v>365</v>
      </c>
    </row>
    <row r="207" spans="1:7" x14ac:dyDescent="0.4">
      <c r="A207" s="2">
        <v>206</v>
      </c>
      <c r="B207" s="2" t="s">
        <v>4</v>
      </c>
      <c r="C207" s="2" t="s">
        <v>876</v>
      </c>
      <c r="D207" s="3" t="s">
        <v>875</v>
      </c>
      <c r="E207" s="3" t="str">
        <f>"加美郡加美町字百目木１－２３－２"</f>
        <v>加美郡加美町字百目木１－２３－２</v>
      </c>
      <c r="F207" s="2" t="str">
        <f>"0229-63-3270  "</f>
        <v xml:space="preserve">0229-63-3270  </v>
      </c>
      <c r="G207" s="3" t="s">
        <v>5</v>
      </c>
    </row>
    <row r="208" spans="1:7" x14ac:dyDescent="0.4">
      <c r="A208" s="2">
        <v>207</v>
      </c>
      <c r="B208" s="2" t="s">
        <v>4</v>
      </c>
      <c r="C208" s="2" t="s">
        <v>874</v>
      </c>
      <c r="D208" s="3" t="s">
        <v>871</v>
      </c>
      <c r="E208" s="3" t="s">
        <v>870</v>
      </c>
      <c r="F208" s="2" t="str">
        <f>"0224-63-2003  "</f>
        <v xml:space="preserve">0224-63-2003  </v>
      </c>
      <c r="G208" s="3" t="s">
        <v>115</v>
      </c>
    </row>
    <row r="209" spans="1:7" x14ac:dyDescent="0.4">
      <c r="A209" s="2">
        <v>208</v>
      </c>
      <c r="B209" s="2" t="s">
        <v>4</v>
      </c>
      <c r="C209" s="2" t="s">
        <v>873</v>
      </c>
      <c r="D209" s="3" t="s">
        <v>871</v>
      </c>
      <c r="E209" s="3" t="s">
        <v>870</v>
      </c>
      <c r="F209" s="2" t="str">
        <f>"0224-63-2003  "</f>
        <v xml:space="preserve">0224-63-2003  </v>
      </c>
      <c r="G209" s="3" t="s">
        <v>26</v>
      </c>
    </row>
    <row r="210" spans="1:7" x14ac:dyDescent="0.4">
      <c r="A210" s="2">
        <v>209</v>
      </c>
      <c r="B210" s="2" t="s">
        <v>4</v>
      </c>
      <c r="C210" s="2" t="s">
        <v>872</v>
      </c>
      <c r="D210" s="3" t="s">
        <v>871</v>
      </c>
      <c r="E210" s="3" t="s">
        <v>870</v>
      </c>
      <c r="F210" s="2" t="str">
        <f>"0224-63-2003  "</f>
        <v xml:space="preserve">0224-63-2003  </v>
      </c>
      <c r="G210" s="3" t="s">
        <v>115</v>
      </c>
    </row>
    <row r="211" spans="1:7" ht="37.5" x14ac:dyDescent="0.4">
      <c r="A211" s="2">
        <v>210</v>
      </c>
      <c r="B211" s="2" t="s">
        <v>4</v>
      </c>
      <c r="C211" s="2" t="s">
        <v>869</v>
      </c>
      <c r="D211" s="3" t="s">
        <v>868</v>
      </c>
      <c r="E211" s="3" t="s">
        <v>867</v>
      </c>
      <c r="F211" s="2" t="str">
        <f>"0224-86-5330  "</f>
        <v xml:space="preserve">0224-86-5330  </v>
      </c>
      <c r="G211" s="3" t="s">
        <v>0</v>
      </c>
    </row>
    <row r="212" spans="1:7" x14ac:dyDescent="0.4">
      <c r="A212" s="2">
        <v>211</v>
      </c>
      <c r="B212" s="2" t="s">
        <v>4</v>
      </c>
      <c r="C212" s="2" t="s">
        <v>866</v>
      </c>
      <c r="D212" s="3" t="s">
        <v>865</v>
      </c>
      <c r="E212" s="3" t="s">
        <v>864</v>
      </c>
      <c r="F212" s="2" t="str">
        <f>"0224-63-1032  "</f>
        <v xml:space="preserve">0224-63-1032  </v>
      </c>
      <c r="G212" s="3" t="s">
        <v>26</v>
      </c>
    </row>
    <row r="213" spans="1:7" x14ac:dyDescent="0.4">
      <c r="A213" s="2">
        <v>212</v>
      </c>
      <c r="B213" s="2" t="s">
        <v>4</v>
      </c>
      <c r="C213" s="2" t="s">
        <v>863</v>
      </c>
      <c r="D213" s="3" t="s">
        <v>862</v>
      </c>
      <c r="E213" s="3" t="s">
        <v>861</v>
      </c>
      <c r="F213" s="2" t="str">
        <f>"0224-63-1032  "</f>
        <v xml:space="preserve">0224-63-1032  </v>
      </c>
      <c r="G213" s="3" t="s">
        <v>465</v>
      </c>
    </row>
    <row r="214" spans="1:7" x14ac:dyDescent="0.4">
      <c r="A214" s="2">
        <v>213</v>
      </c>
      <c r="B214" s="2" t="s">
        <v>4</v>
      </c>
      <c r="C214" s="2" t="s">
        <v>860</v>
      </c>
      <c r="D214" s="3" t="s">
        <v>859</v>
      </c>
      <c r="E214" s="3" t="s">
        <v>858</v>
      </c>
      <c r="F214" s="2" t="str">
        <f>"0224-62-2222  "</f>
        <v xml:space="preserve">0224-62-2222  </v>
      </c>
      <c r="G214" s="3" t="s">
        <v>5</v>
      </c>
    </row>
    <row r="215" spans="1:7" x14ac:dyDescent="0.4">
      <c r="A215" s="2">
        <v>214</v>
      </c>
      <c r="B215" s="2" t="s">
        <v>4</v>
      </c>
      <c r="C215" s="2" t="s">
        <v>857</v>
      </c>
      <c r="D215" s="3" t="s">
        <v>856</v>
      </c>
      <c r="E215" s="3" t="str">
        <f>"角田市角田字南６１－１"</f>
        <v>角田市角田字南６１－１</v>
      </c>
      <c r="F215" s="2" t="str">
        <f>"0224-63-2347  "</f>
        <v xml:space="preserve">0224-63-2347  </v>
      </c>
      <c r="G215" s="3" t="s">
        <v>855</v>
      </c>
    </row>
    <row r="216" spans="1:7" x14ac:dyDescent="0.4">
      <c r="A216" s="2">
        <v>215</v>
      </c>
      <c r="B216" s="2" t="s">
        <v>4</v>
      </c>
      <c r="C216" s="2" t="s">
        <v>854</v>
      </c>
      <c r="D216" s="3" t="s">
        <v>852</v>
      </c>
      <c r="E216" s="3" t="s">
        <v>851</v>
      </c>
      <c r="F216" s="2" t="str">
        <f>"0224-32-2002  "</f>
        <v xml:space="preserve">0224-32-2002  </v>
      </c>
      <c r="G216" s="3" t="s">
        <v>9</v>
      </c>
    </row>
    <row r="217" spans="1:7" ht="37.5" x14ac:dyDescent="0.4">
      <c r="A217" s="2">
        <v>216</v>
      </c>
      <c r="B217" s="2" t="s">
        <v>4</v>
      </c>
      <c r="C217" s="2" t="s">
        <v>853</v>
      </c>
      <c r="D217" s="3" t="s">
        <v>852</v>
      </c>
      <c r="E217" s="3" t="s">
        <v>851</v>
      </c>
      <c r="F217" s="2" t="str">
        <f>"0224-32-2002  "</f>
        <v xml:space="preserve">0224-32-2002  </v>
      </c>
      <c r="G217" s="3" t="s">
        <v>850</v>
      </c>
    </row>
    <row r="218" spans="1:7" ht="37.5" x14ac:dyDescent="0.4">
      <c r="A218" s="2">
        <v>217</v>
      </c>
      <c r="B218" s="2" t="s">
        <v>4</v>
      </c>
      <c r="C218" s="2" t="s">
        <v>849</v>
      </c>
      <c r="D218" s="3" t="s">
        <v>848</v>
      </c>
      <c r="E218" s="3" t="str">
        <f>"岩沼市あさひ野1-11-2"</f>
        <v>岩沼市あさひ野1-11-2</v>
      </c>
      <c r="F218" s="2" t="str">
        <f>"0223-35-7461  "</f>
        <v xml:space="preserve">0223-35-7461  </v>
      </c>
      <c r="G218" s="3" t="s">
        <v>847</v>
      </c>
    </row>
    <row r="219" spans="1:7" x14ac:dyDescent="0.4">
      <c r="A219" s="2">
        <v>218</v>
      </c>
      <c r="B219" s="2" t="s">
        <v>4</v>
      </c>
      <c r="C219" s="2" t="s">
        <v>846</v>
      </c>
      <c r="D219" s="3" t="s">
        <v>845</v>
      </c>
      <c r="E219" s="3" t="s">
        <v>844</v>
      </c>
      <c r="F219" s="2" t="str">
        <f>"0223-23-1639  "</f>
        <v xml:space="preserve">0223-23-1639  </v>
      </c>
      <c r="G219" s="3" t="s">
        <v>0</v>
      </c>
    </row>
    <row r="220" spans="1:7" x14ac:dyDescent="0.4">
      <c r="A220" s="2">
        <v>219</v>
      </c>
      <c r="B220" s="2" t="s">
        <v>4</v>
      </c>
      <c r="C220" s="2" t="s">
        <v>843</v>
      </c>
      <c r="D220" s="3" t="s">
        <v>842</v>
      </c>
      <c r="E220" s="3" t="str">
        <f>"岩沼市桜１－１－１１"</f>
        <v>岩沼市桜１－１－１１</v>
      </c>
      <c r="F220" s="2" t="str">
        <f>"0223-22-1311  "</f>
        <v xml:space="preserve">0223-22-1311  </v>
      </c>
      <c r="G220" s="3" t="s">
        <v>97</v>
      </c>
    </row>
    <row r="221" spans="1:7" x14ac:dyDescent="0.4">
      <c r="A221" s="2">
        <v>220</v>
      </c>
      <c r="B221" s="2" t="s">
        <v>4</v>
      </c>
      <c r="C221" s="2" t="s">
        <v>841</v>
      </c>
      <c r="D221" s="3" t="s">
        <v>840</v>
      </c>
      <c r="E221" s="3" t="str">
        <f>"岩沼市桜２－４－１"</f>
        <v>岩沼市桜２－４－１</v>
      </c>
      <c r="F221" s="2" t="str">
        <f>"0223-35-7701  "</f>
        <v xml:space="preserve">0223-35-7701  </v>
      </c>
      <c r="G221" s="3" t="s">
        <v>9</v>
      </c>
    </row>
    <row r="222" spans="1:7" ht="37.5" x14ac:dyDescent="0.4">
      <c r="A222" s="2">
        <v>221</v>
      </c>
      <c r="B222" s="2" t="s">
        <v>4</v>
      </c>
      <c r="C222" s="2" t="s">
        <v>839</v>
      </c>
      <c r="D222" s="3" t="s">
        <v>838</v>
      </c>
      <c r="E222" s="3" t="str">
        <f>"岩沼市桜４－６－１６"</f>
        <v>岩沼市桜４－６－１６</v>
      </c>
      <c r="F222" s="2" t="str">
        <f>"0223-22-2611  "</f>
        <v xml:space="preserve">0223-22-2611  </v>
      </c>
      <c r="G222" s="3" t="s">
        <v>5</v>
      </c>
    </row>
    <row r="223" spans="1:7" x14ac:dyDescent="0.4">
      <c r="A223" s="2">
        <v>222</v>
      </c>
      <c r="B223" s="2" t="s">
        <v>4</v>
      </c>
      <c r="C223" s="2" t="s">
        <v>837</v>
      </c>
      <c r="D223" s="3" t="s">
        <v>836</v>
      </c>
      <c r="E223" s="3" t="s">
        <v>835</v>
      </c>
      <c r="F223" s="2" t="str">
        <f>"0223-24-1861  "</f>
        <v xml:space="preserve">0223-24-1861  </v>
      </c>
      <c r="G223" s="3" t="s">
        <v>357</v>
      </c>
    </row>
    <row r="224" spans="1:7" ht="37.5" x14ac:dyDescent="0.4">
      <c r="A224" s="2">
        <v>223</v>
      </c>
      <c r="B224" s="2" t="s">
        <v>4</v>
      </c>
      <c r="C224" s="2" t="s">
        <v>834</v>
      </c>
      <c r="D224" s="3" t="s">
        <v>833</v>
      </c>
      <c r="E224" s="3" t="s">
        <v>832</v>
      </c>
      <c r="F224" s="2" t="str">
        <f>"0223-24-1861  "</f>
        <v xml:space="preserve">0223-24-1861  </v>
      </c>
      <c r="G224" s="3" t="s">
        <v>28</v>
      </c>
    </row>
    <row r="225" spans="1:7" x14ac:dyDescent="0.4">
      <c r="A225" s="2">
        <v>224</v>
      </c>
      <c r="B225" s="2" t="s">
        <v>4</v>
      </c>
      <c r="C225" s="2" t="s">
        <v>831</v>
      </c>
      <c r="D225" s="3" t="s">
        <v>830</v>
      </c>
      <c r="E225" s="3" t="s">
        <v>829</v>
      </c>
      <c r="F225" s="2" t="str">
        <f>"0223-24-2100  "</f>
        <v xml:space="preserve">0223-24-2100  </v>
      </c>
      <c r="G225" s="3" t="s">
        <v>79</v>
      </c>
    </row>
    <row r="226" spans="1:7" x14ac:dyDescent="0.4">
      <c r="A226" s="2">
        <v>225</v>
      </c>
      <c r="B226" s="2" t="s">
        <v>4</v>
      </c>
      <c r="C226" s="2" t="s">
        <v>828</v>
      </c>
      <c r="D226" s="3" t="s">
        <v>827</v>
      </c>
      <c r="E226" s="3" t="str">
        <f>"岩沼市土ケ崎２丁目３－１０"</f>
        <v>岩沼市土ケ崎２丁目３－１０</v>
      </c>
      <c r="F226" s="2" t="str">
        <f>"0223-23-0170  "</f>
        <v xml:space="preserve">0223-23-0170  </v>
      </c>
      <c r="G226" s="3" t="s">
        <v>465</v>
      </c>
    </row>
    <row r="227" spans="1:7" x14ac:dyDescent="0.4">
      <c r="A227" s="2">
        <v>226</v>
      </c>
      <c r="B227" s="2" t="s">
        <v>4</v>
      </c>
      <c r="C227" s="2" t="s">
        <v>826</v>
      </c>
      <c r="D227" s="3" t="s">
        <v>825</v>
      </c>
      <c r="E227" s="3" t="str">
        <f>"岩沼市土ケ崎４丁目１－１２"</f>
        <v>岩沼市土ケ崎４丁目１－１２</v>
      </c>
      <c r="F227" s="2" t="str">
        <f>"0223-25-2711  "</f>
        <v xml:space="preserve">0223-25-2711  </v>
      </c>
      <c r="G227" s="3" t="s">
        <v>824</v>
      </c>
    </row>
    <row r="228" spans="1:7" ht="37.5" x14ac:dyDescent="0.4">
      <c r="A228" s="2">
        <v>227</v>
      </c>
      <c r="B228" s="2" t="s">
        <v>4</v>
      </c>
      <c r="C228" s="2" t="s">
        <v>823</v>
      </c>
      <c r="D228" s="3" t="s">
        <v>822</v>
      </c>
      <c r="E228" s="3" t="str">
        <f>"岩沼市北長谷字畑向山南　２７－２"</f>
        <v>岩沼市北長谷字畑向山南　２７－２</v>
      </c>
      <c r="F228" s="2" t="str">
        <f>"0223-23-2678  "</f>
        <v xml:space="preserve">0223-23-2678  </v>
      </c>
      <c r="G228" s="3" t="s">
        <v>36</v>
      </c>
    </row>
    <row r="229" spans="1:7" x14ac:dyDescent="0.4">
      <c r="A229" s="2">
        <v>228</v>
      </c>
      <c r="B229" s="2" t="s">
        <v>4</v>
      </c>
      <c r="C229" s="2" t="s">
        <v>821</v>
      </c>
      <c r="D229" s="3" t="s">
        <v>819</v>
      </c>
      <c r="E229" s="3" t="str">
        <f>"岩沼市北長谷字畑向山南２７－２"</f>
        <v>岩沼市北長谷字畑向山南２７－２</v>
      </c>
      <c r="F229" s="2" t="str">
        <f>"0223-23-2678  "</f>
        <v xml:space="preserve">0223-23-2678  </v>
      </c>
      <c r="G229" s="3" t="s">
        <v>180</v>
      </c>
    </row>
    <row r="230" spans="1:7" x14ac:dyDescent="0.4">
      <c r="A230" s="2">
        <v>229</v>
      </c>
      <c r="B230" s="2" t="s">
        <v>4</v>
      </c>
      <c r="C230" s="2" t="s">
        <v>820</v>
      </c>
      <c r="D230" s="3" t="s">
        <v>819</v>
      </c>
      <c r="E230" s="3" t="str">
        <f>"岩沼市北長谷字畑向山南２７-２"</f>
        <v>岩沼市北長谷字畑向山南２７-２</v>
      </c>
      <c r="F230" s="2" t="str">
        <f>"0223-23-2678  "</f>
        <v xml:space="preserve">0223-23-2678  </v>
      </c>
      <c r="G230" s="3" t="s">
        <v>28</v>
      </c>
    </row>
    <row r="231" spans="1:7" x14ac:dyDescent="0.4">
      <c r="A231" s="2">
        <v>230</v>
      </c>
      <c r="B231" s="2" t="s">
        <v>4</v>
      </c>
      <c r="C231" s="2" t="s">
        <v>818</v>
      </c>
      <c r="D231" s="3" t="s">
        <v>795</v>
      </c>
      <c r="E231" s="3" t="str">
        <f>"岩沼市里の杜　１－２－５"</f>
        <v>岩沼市里の杜　１－２－５</v>
      </c>
      <c r="F231" s="2" t="str">
        <f t="shared" ref="F231:F251" si="4">"0223-23-3151  "</f>
        <v xml:space="preserve">0223-23-3151  </v>
      </c>
      <c r="G231" s="3" t="s">
        <v>28</v>
      </c>
    </row>
    <row r="232" spans="1:7" x14ac:dyDescent="0.4">
      <c r="A232" s="2">
        <v>231</v>
      </c>
      <c r="B232" s="2" t="s">
        <v>4</v>
      </c>
      <c r="C232" s="2" t="s">
        <v>817</v>
      </c>
      <c r="D232" s="3" t="s">
        <v>795</v>
      </c>
      <c r="E232" s="3" t="str">
        <f>"岩沼市里の杜　１－２－５"</f>
        <v>岩沼市里の杜　１－２－５</v>
      </c>
      <c r="F232" s="2" t="str">
        <f t="shared" si="4"/>
        <v xml:space="preserve">0223-23-3151  </v>
      </c>
      <c r="G232" s="3" t="s">
        <v>53</v>
      </c>
    </row>
    <row r="233" spans="1:7" x14ac:dyDescent="0.4">
      <c r="A233" s="2">
        <v>232</v>
      </c>
      <c r="B233" s="2" t="s">
        <v>4</v>
      </c>
      <c r="C233" s="2" t="s">
        <v>816</v>
      </c>
      <c r="D233" s="3" t="s">
        <v>795</v>
      </c>
      <c r="E233" s="3" t="str">
        <f>"岩沼市里の杜　１－２－５"</f>
        <v>岩沼市里の杜　１－２－５</v>
      </c>
      <c r="F233" s="2" t="str">
        <f t="shared" si="4"/>
        <v xml:space="preserve">0223-23-3151  </v>
      </c>
      <c r="G233" s="3" t="s">
        <v>97</v>
      </c>
    </row>
    <row r="234" spans="1:7" x14ac:dyDescent="0.4">
      <c r="A234" s="2">
        <v>233</v>
      </c>
      <c r="B234" s="2" t="s">
        <v>4</v>
      </c>
      <c r="C234" s="2" t="s">
        <v>815</v>
      </c>
      <c r="D234" s="3" t="s">
        <v>795</v>
      </c>
      <c r="E234" s="3" t="str">
        <f>"岩沼市里の杜　１－２－５"</f>
        <v>岩沼市里の杜　１－２－５</v>
      </c>
      <c r="F234" s="2" t="str">
        <f t="shared" si="4"/>
        <v xml:space="preserve">0223-23-3151  </v>
      </c>
      <c r="G234" s="3" t="s">
        <v>53</v>
      </c>
    </row>
    <row r="235" spans="1:7" ht="37.5" x14ac:dyDescent="0.4">
      <c r="A235" s="2">
        <v>234</v>
      </c>
      <c r="B235" s="2" t="s">
        <v>4</v>
      </c>
      <c r="C235" s="2" t="s">
        <v>814</v>
      </c>
      <c r="D235" s="3" t="s">
        <v>813</v>
      </c>
      <c r="E235" s="3" t="str">
        <f>"岩沼市里の杜　１－２－５"</f>
        <v>岩沼市里の杜　１－２－５</v>
      </c>
      <c r="F235" s="2" t="str">
        <f t="shared" si="4"/>
        <v xml:space="preserve">0223-23-3151  </v>
      </c>
      <c r="G235" s="3" t="s">
        <v>169</v>
      </c>
    </row>
    <row r="236" spans="1:7" x14ac:dyDescent="0.4">
      <c r="A236" s="2">
        <v>235</v>
      </c>
      <c r="B236" s="2" t="s">
        <v>4</v>
      </c>
      <c r="C236" s="2" t="s">
        <v>812</v>
      </c>
      <c r="D236" s="3" t="s">
        <v>795</v>
      </c>
      <c r="E236" s="3" t="str">
        <f t="shared" ref="E236:E248" si="5">"岩沼市里の杜１－２－５"</f>
        <v>岩沼市里の杜１－２－５</v>
      </c>
      <c r="F236" s="2" t="str">
        <f t="shared" si="4"/>
        <v xml:space="preserve">0223-23-3151  </v>
      </c>
      <c r="G236" s="3" t="s">
        <v>28</v>
      </c>
    </row>
    <row r="237" spans="1:7" x14ac:dyDescent="0.4">
      <c r="A237" s="2">
        <v>236</v>
      </c>
      <c r="B237" s="2" t="s">
        <v>4</v>
      </c>
      <c r="C237" s="2" t="s">
        <v>811</v>
      </c>
      <c r="D237" s="3" t="s">
        <v>795</v>
      </c>
      <c r="E237" s="3" t="str">
        <f t="shared" si="5"/>
        <v>岩沼市里の杜１－２－５</v>
      </c>
      <c r="F237" s="2" t="str">
        <f t="shared" si="4"/>
        <v xml:space="preserve">0223-23-3151  </v>
      </c>
      <c r="G237" s="3" t="s">
        <v>180</v>
      </c>
    </row>
    <row r="238" spans="1:7" x14ac:dyDescent="0.4">
      <c r="A238" s="2">
        <v>237</v>
      </c>
      <c r="B238" s="2" t="s">
        <v>4</v>
      </c>
      <c r="C238" s="2" t="s">
        <v>810</v>
      </c>
      <c r="D238" s="3" t="s">
        <v>795</v>
      </c>
      <c r="E238" s="3" t="str">
        <f t="shared" si="5"/>
        <v>岩沼市里の杜１－２－５</v>
      </c>
      <c r="F238" s="2" t="str">
        <f t="shared" si="4"/>
        <v xml:space="preserve">0223-23-3151  </v>
      </c>
      <c r="G238" s="3" t="s">
        <v>115</v>
      </c>
    </row>
    <row r="239" spans="1:7" x14ac:dyDescent="0.4">
      <c r="A239" s="2">
        <v>238</v>
      </c>
      <c r="B239" s="2" t="s">
        <v>4</v>
      </c>
      <c r="C239" s="2" t="s">
        <v>809</v>
      </c>
      <c r="D239" s="3" t="s">
        <v>795</v>
      </c>
      <c r="E239" s="3" t="str">
        <f t="shared" si="5"/>
        <v>岩沼市里の杜１－２－５</v>
      </c>
      <c r="F239" s="2" t="str">
        <f t="shared" si="4"/>
        <v xml:space="preserve">0223-23-3151  </v>
      </c>
      <c r="G239" s="3" t="s">
        <v>28</v>
      </c>
    </row>
    <row r="240" spans="1:7" x14ac:dyDescent="0.4">
      <c r="A240" s="2">
        <v>239</v>
      </c>
      <c r="B240" s="2" t="s">
        <v>4</v>
      </c>
      <c r="C240" s="2" t="s">
        <v>808</v>
      </c>
      <c r="D240" s="3" t="s">
        <v>795</v>
      </c>
      <c r="E240" s="3" t="str">
        <f t="shared" si="5"/>
        <v>岩沼市里の杜１－２－５</v>
      </c>
      <c r="F240" s="2" t="str">
        <f t="shared" si="4"/>
        <v xml:space="preserve">0223-23-3151  </v>
      </c>
      <c r="G240" s="3" t="s">
        <v>180</v>
      </c>
    </row>
    <row r="241" spans="1:7" x14ac:dyDescent="0.4">
      <c r="A241" s="2">
        <v>240</v>
      </c>
      <c r="B241" s="2" t="s">
        <v>4</v>
      </c>
      <c r="C241" s="2" t="s">
        <v>807</v>
      </c>
      <c r="D241" s="3" t="s">
        <v>795</v>
      </c>
      <c r="E241" s="3" t="str">
        <f t="shared" si="5"/>
        <v>岩沼市里の杜１－２－５</v>
      </c>
      <c r="F241" s="2" t="str">
        <f t="shared" si="4"/>
        <v xml:space="preserve">0223-23-3151  </v>
      </c>
      <c r="G241" s="3" t="s">
        <v>180</v>
      </c>
    </row>
    <row r="242" spans="1:7" x14ac:dyDescent="0.4">
      <c r="A242" s="2">
        <v>241</v>
      </c>
      <c r="B242" s="2" t="s">
        <v>4</v>
      </c>
      <c r="C242" s="2" t="s">
        <v>806</v>
      </c>
      <c r="D242" s="3" t="s">
        <v>795</v>
      </c>
      <c r="E242" s="3" t="str">
        <f t="shared" si="5"/>
        <v>岩沼市里の杜１－２－５</v>
      </c>
      <c r="F242" s="2" t="str">
        <f t="shared" si="4"/>
        <v xml:space="preserve">0223-23-3151  </v>
      </c>
      <c r="G242" s="3" t="s">
        <v>28</v>
      </c>
    </row>
    <row r="243" spans="1:7" x14ac:dyDescent="0.4">
      <c r="A243" s="2">
        <v>242</v>
      </c>
      <c r="B243" s="2" t="s">
        <v>4</v>
      </c>
      <c r="C243" s="2" t="s">
        <v>805</v>
      </c>
      <c r="D243" s="3" t="s">
        <v>795</v>
      </c>
      <c r="E243" s="3" t="str">
        <f t="shared" si="5"/>
        <v>岩沼市里の杜１－２－５</v>
      </c>
      <c r="F243" s="2" t="str">
        <f t="shared" si="4"/>
        <v xml:space="preserve">0223-23-3151  </v>
      </c>
      <c r="G243" s="3" t="s">
        <v>28</v>
      </c>
    </row>
    <row r="244" spans="1:7" x14ac:dyDescent="0.4">
      <c r="A244" s="2">
        <v>243</v>
      </c>
      <c r="B244" s="2" t="s">
        <v>4</v>
      </c>
      <c r="C244" s="2" t="s">
        <v>804</v>
      </c>
      <c r="D244" s="3" t="s">
        <v>795</v>
      </c>
      <c r="E244" s="3" t="str">
        <f t="shared" si="5"/>
        <v>岩沼市里の杜１－２－５</v>
      </c>
      <c r="F244" s="2" t="str">
        <f t="shared" si="4"/>
        <v xml:space="preserve">0223-23-3151  </v>
      </c>
      <c r="G244" s="3" t="s">
        <v>22</v>
      </c>
    </row>
    <row r="245" spans="1:7" x14ac:dyDescent="0.4">
      <c r="A245" s="2">
        <v>244</v>
      </c>
      <c r="B245" s="2" t="s">
        <v>4</v>
      </c>
      <c r="C245" s="2" t="s">
        <v>803</v>
      </c>
      <c r="D245" s="3" t="s">
        <v>795</v>
      </c>
      <c r="E245" s="3" t="str">
        <f t="shared" si="5"/>
        <v>岩沼市里の杜１－２－５</v>
      </c>
      <c r="F245" s="2" t="str">
        <f t="shared" si="4"/>
        <v xml:space="preserve">0223-23-3151  </v>
      </c>
      <c r="G245" s="3" t="s">
        <v>28</v>
      </c>
    </row>
    <row r="246" spans="1:7" x14ac:dyDescent="0.4">
      <c r="A246" s="2">
        <v>245</v>
      </c>
      <c r="B246" s="2" t="s">
        <v>4</v>
      </c>
      <c r="C246" s="2" t="s">
        <v>802</v>
      </c>
      <c r="D246" s="3" t="s">
        <v>795</v>
      </c>
      <c r="E246" s="3" t="str">
        <f t="shared" si="5"/>
        <v>岩沼市里の杜１－２－５</v>
      </c>
      <c r="F246" s="2" t="str">
        <f t="shared" si="4"/>
        <v xml:space="preserve">0223-23-3151  </v>
      </c>
      <c r="G246" s="3" t="s">
        <v>53</v>
      </c>
    </row>
    <row r="247" spans="1:7" x14ac:dyDescent="0.4">
      <c r="A247" s="2">
        <v>246</v>
      </c>
      <c r="B247" s="2" t="s">
        <v>4</v>
      </c>
      <c r="C247" s="2" t="s">
        <v>801</v>
      </c>
      <c r="D247" s="3" t="s">
        <v>795</v>
      </c>
      <c r="E247" s="3" t="str">
        <f t="shared" si="5"/>
        <v>岩沼市里の杜１－２－５</v>
      </c>
      <c r="F247" s="2" t="str">
        <f t="shared" si="4"/>
        <v xml:space="preserve">0223-23-3151  </v>
      </c>
      <c r="G247" s="3" t="s">
        <v>800</v>
      </c>
    </row>
    <row r="248" spans="1:7" x14ac:dyDescent="0.4">
      <c r="A248" s="2">
        <v>247</v>
      </c>
      <c r="B248" s="2" t="s">
        <v>4</v>
      </c>
      <c r="C248" s="2" t="s">
        <v>799</v>
      </c>
      <c r="D248" s="3" t="s">
        <v>795</v>
      </c>
      <c r="E248" s="3" t="str">
        <f t="shared" si="5"/>
        <v>岩沼市里の杜１－２－５</v>
      </c>
      <c r="F248" s="2" t="str">
        <f t="shared" si="4"/>
        <v xml:space="preserve">0223-23-3151  </v>
      </c>
      <c r="G248" s="3" t="s">
        <v>22</v>
      </c>
    </row>
    <row r="249" spans="1:7" x14ac:dyDescent="0.4">
      <c r="A249" s="2">
        <v>248</v>
      </c>
      <c r="B249" s="2" t="s">
        <v>4</v>
      </c>
      <c r="C249" s="2" t="s">
        <v>798</v>
      </c>
      <c r="D249" s="3" t="s">
        <v>795</v>
      </c>
      <c r="E249" s="3" t="s">
        <v>794</v>
      </c>
      <c r="F249" s="2" t="str">
        <f t="shared" si="4"/>
        <v xml:space="preserve">0223-23-3151  </v>
      </c>
      <c r="G249" s="3" t="s">
        <v>28</v>
      </c>
    </row>
    <row r="250" spans="1:7" x14ac:dyDescent="0.4">
      <c r="A250" s="2">
        <v>249</v>
      </c>
      <c r="B250" s="2" t="s">
        <v>4</v>
      </c>
      <c r="C250" s="2" t="s">
        <v>797</v>
      </c>
      <c r="D250" s="3" t="s">
        <v>795</v>
      </c>
      <c r="E250" s="3" t="s">
        <v>794</v>
      </c>
      <c r="F250" s="2" t="str">
        <f t="shared" si="4"/>
        <v xml:space="preserve">0223-23-3151  </v>
      </c>
      <c r="G250" s="3" t="s">
        <v>26</v>
      </c>
    </row>
    <row r="251" spans="1:7" x14ac:dyDescent="0.4">
      <c r="A251" s="2">
        <v>250</v>
      </c>
      <c r="B251" s="2" t="s">
        <v>4</v>
      </c>
      <c r="C251" s="2" t="s">
        <v>796</v>
      </c>
      <c r="D251" s="3" t="s">
        <v>795</v>
      </c>
      <c r="E251" s="3" t="s">
        <v>794</v>
      </c>
      <c r="F251" s="2" t="str">
        <f t="shared" si="4"/>
        <v xml:space="preserve">0223-23-3151  </v>
      </c>
      <c r="G251" s="3" t="s">
        <v>26</v>
      </c>
    </row>
    <row r="252" spans="1:7" x14ac:dyDescent="0.4">
      <c r="A252" s="2">
        <v>251</v>
      </c>
      <c r="B252" s="2" t="s">
        <v>4</v>
      </c>
      <c r="C252" s="2" t="s">
        <v>793</v>
      </c>
      <c r="D252" s="3" t="s">
        <v>792</v>
      </c>
      <c r="E252" s="3" t="str">
        <f>"気仙沼市松崎柳沢２１６－５"</f>
        <v>気仙沼市松崎柳沢２１６－５</v>
      </c>
      <c r="F252" s="2" t="str">
        <f>"0226-22-6685  "</f>
        <v xml:space="preserve">0226-22-6685  </v>
      </c>
      <c r="G252" s="3" t="s">
        <v>791</v>
      </c>
    </row>
    <row r="253" spans="1:7" x14ac:dyDescent="0.4">
      <c r="A253" s="2">
        <v>252</v>
      </c>
      <c r="B253" s="2" t="s">
        <v>4</v>
      </c>
      <c r="C253" s="2" t="s">
        <v>790</v>
      </c>
      <c r="D253" s="3" t="s">
        <v>778</v>
      </c>
      <c r="E253" s="3" t="str">
        <f>"気仙沼市赤岩杉ノ沢8-2"</f>
        <v>気仙沼市赤岩杉ノ沢8-2</v>
      </c>
      <c r="F253" s="2" t="str">
        <f t="shared" ref="F253:F264" si="6">"0226-22-7100  "</f>
        <v xml:space="preserve">0226-22-7100  </v>
      </c>
      <c r="G253" s="3" t="s">
        <v>227</v>
      </c>
    </row>
    <row r="254" spans="1:7" x14ac:dyDescent="0.4">
      <c r="A254" s="2">
        <v>253</v>
      </c>
      <c r="B254" s="2" t="s">
        <v>4</v>
      </c>
      <c r="C254" s="2" t="s">
        <v>789</v>
      </c>
      <c r="D254" s="3" t="s">
        <v>778</v>
      </c>
      <c r="E254" s="3" t="str">
        <f>"気仙沼市赤岩杉ノ沢８－２"</f>
        <v>気仙沼市赤岩杉ノ沢８－２</v>
      </c>
      <c r="F254" s="2" t="str">
        <f t="shared" si="6"/>
        <v xml:space="preserve">0226-22-7100  </v>
      </c>
      <c r="G254" s="3" t="s">
        <v>9</v>
      </c>
    </row>
    <row r="255" spans="1:7" x14ac:dyDescent="0.4">
      <c r="A255" s="2">
        <v>254</v>
      </c>
      <c r="B255" s="2" t="s">
        <v>4</v>
      </c>
      <c r="C255" s="2" t="s">
        <v>788</v>
      </c>
      <c r="D255" s="3" t="s">
        <v>778</v>
      </c>
      <c r="E255" s="3" t="str">
        <f>"気仙沼市赤岩杉ノ沢8-2"</f>
        <v>気仙沼市赤岩杉ノ沢8-2</v>
      </c>
      <c r="F255" s="2" t="str">
        <f t="shared" si="6"/>
        <v xml:space="preserve">0226-22-7100  </v>
      </c>
      <c r="G255" s="3" t="s">
        <v>180</v>
      </c>
    </row>
    <row r="256" spans="1:7" x14ac:dyDescent="0.4">
      <c r="A256" s="2">
        <v>255</v>
      </c>
      <c r="B256" s="2" t="s">
        <v>4</v>
      </c>
      <c r="C256" s="2" t="s">
        <v>787</v>
      </c>
      <c r="D256" s="3" t="s">
        <v>778</v>
      </c>
      <c r="E256" s="3" t="str">
        <f>"気仙沼市赤岩杉ノ沢8-2"</f>
        <v>気仙沼市赤岩杉ノ沢8-2</v>
      </c>
      <c r="F256" s="2" t="str">
        <f t="shared" si="6"/>
        <v xml:space="preserve">0226-22-7100  </v>
      </c>
      <c r="G256" s="3" t="s">
        <v>53</v>
      </c>
    </row>
    <row r="257" spans="1:7" x14ac:dyDescent="0.4">
      <c r="A257" s="2">
        <v>256</v>
      </c>
      <c r="B257" s="2" t="s">
        <v>4</v>
      </c>
      <c r="C257" s="2" t="s">
        <v>786</v>
      </c>
      <c r="D257" s="3" t="s">
        <v>778</v>
      </c>
      <c r="E257" s="3" t="str">
        <f>"気仙沼市赤岩杉ノ沢8-2"</f>
        <v>気仙沼市赤岩杉ノ沢8-2</v>
      </c>
      <c r="F257" s="2" t="str">
        <f t="shared" si="6"/>
        <v xml:space="preserve">0226-22-7100  </v>
      </c>
      <c r="G257" s="3" t="s">
        <v>115</v>
      </c>
    </row>
    <row r="258" spans="1:7" x14ac:dyDescent="0.4">
      <c r="A258" s="2">
        <v>257</v>
      </c>
      <c r="B258" s="2" t="s">
        <v>4</v>
      </c>
      <c r="C258" s="2" t="s">
        <v>785</v>
      </c>
      <c r="D258" s="3" t="s">
        <v>778</v>
      </c>
      <c r="E258" s="3" t="str">
        <f>"気仙沼市赤岩杉ノ沢8-2"</f>
        <v>気仙沼市赤岩杉ノ沢8-2</v>
      </c>
      <c r="F258" s="2" t="str">
        <f t="shared" si="6"/>
        <v xml:space="preserve">0226-22-7100  </v>
      </c>
      <c r="G258" s="3" t="s">
        <v>115</v>
      </c>
    </row>
    <row r="259" spans="1:7" x14ac:dyDescent="0.4">
      <c r="A259" s="2">
        <v>258</v>
      </c>
      <c r="B259" s="2" t="s">
        <v>4</v>
      </c>
      <c r="C259" s="2" t="s">
        <v>784</v>
      </c>
      <c r="D259" s="3" t="s">
        <v>778</v>
      </c>
      <c r="E259" s="3" t="str">
        <f>"気仙沼市赤岩杉ノ沢８－２"</f>
        <v>気仙沼市赤岩杉ノ沢８－２</v>
      </c>
      <c r="F259" s="2" t="str">
        <f t="shared" si="6"/>
        <v xml:space="preserve">0226-22-7100  </v>
      </c>
      <c r="G259" s="3" t="s">
        <v>227</v>
      </c>
    </row>
    <row r="260" spans="1:7" x14ac:dyDescent="0.4">
      <c r="A260" s="2">
        <v>259</v>
      </c>
      <c r="B260" s="2" t="s">
        <v>4</v>
      </c>
      <c r="C260" s="2" t="s">
        <v>783</v>
      </c>
      <c r="D260" s="3" t="s">
        <v>778</v>
      </c>
      <c r="E260" s="3" t="str">
        <f>"気仙沼市赤岩杉ノ沢８－２"</f>
        <v>気仙沼市赤岩杉ノ沢８－２</v>
      </c>
      <c r="F260" s="2" t="str">
        <f t="shared" si="6"/>
        <v xml:space="preserve">0226-22-7100  </v>
      </c>
      <c r="G260" s="3" t="s">
        <v>75</v>
      </c>
    </row>
    <row r="261" spans="1:7" x14ac:dyDescent="0.4">
      <c r="A261" s="2">
        <v>260</v>
      </c>
      <c r="B261" s="2" t="s">
        <v>4</v>
      </c>
      <c r="C261" s="2" t="s">
        <v>782</v>
      </c>
      <c r="D261" s="3" t="s">
        <v>778</v>
      </c>
      <c r="E261" s="3" t="str">
        <f>"気仙沼市赤岩杉ノ沢８－２"</f>
        <v>気仙沼市赤岩杉ノ沢８－２</v>
      </c>
      <c r="F261" s="2" t="str">
        <f t="shared" si="6"/>
        <v xml:space="preserve">0226-22-7100  </v>
      </c>
      <c r="G261" s="3" t="s">
        <v>97</v>
      </c>
    </row>
    <row r="262" spans="1:7" x14ac:dyDescent="0.4">
      <c r="A262" s="2">
        <v>261</v>
      </c>
      <c r="B262" s="2" t="s">
        <v>4</v>
      </c>
      <c r="C262" s="2" t="s">
        <v>781</v>
      </c>
      <c r="D262" s="3" t="s">
        <v>778</v>
      </c>
      <c r="E262" s="3" t="str">
        <f>"気仙沼市赤岩杉ノ沢８－２"</f>
        <v>気仙沼市赤岩杉ノ沢８－２</v>
      </c>
      <c r="F262" s="2" t="str">
        <f t="shared" si="6"/>
        <v xml:space="preserve">0226-22-7100  </v>
      </c>
      <c r="G262" s="3" t="s">
        <v>481</v>
      </c>
    </row>
    <row r="263" spans="1:7" x14ac:dyDescent="0.4">
      <c r="A263" s="2">
        <v>262</v>
      </c>
      <c r="B263" s="2" t="s">
        <v>4</v>
      </c>
      <c r="C263" s="2" t="s">
        <v>780</v>
      </c>
      <c r="D263" s="3" t="s">
        <v>778</v>
      </c>
      <c r="E263" s="3" t="str">
        <f>"気仙沼市赤岩杉ノ沢８－２"</f>
        <v>気仙沼市赤岩杉ノ沢８－２</v>
      </c>
      <c r="F263" s="2" t="str">
        <f t="shared" si="6"/>
        <v xml:space="preserve">0226-22-7100  </v>
      </c>
      <c r="G263" s="3" t="s">
        <v>28</v>
      </c>
    </row>
    <row r="264" spans="1:7" x14ac:dyDescent="0.4">
      <c r="A264" s="2">
        <v>263</v>
      </c>
      <c r="B264" s="2" t="s">
        <v>4</v>
      </c>
      <c r="C264" s="2" t="s">
        <v>779</v>
      </c>
      <c r="D264" s="3" t="s">
        <v>778</v>
      </c>
      <c r="E264" s="3" t="s">
        <v>777</v>
      </c>
      <c r="F264" s="2" t="str">
        <f t="shared" si="6"/>
        <v xml:space="preserve">0226-22-7100  </v>
      </c>
      <c r="G264" s="3" t="s">
        <v>18</v>
      </c>
    </row>
    <row r="265" spans="1:7" x14ac:dyDescent="0.4">
      <c r="A265" s="2">
        <v>264</v>
      </c>
      <c r="B265" s="2" t="s">
        <v>4</v>
      </c>
      <c r="C265" s="2" t="s">
        <v>776</v>
      </c>
      <c r="D265" s="3" t="s">
        <v>775</v>
      </c>
      <c r="E265" s="3" t="str">
        <f>"気仙沼市長磯原ノ沢５０－２"</f>
        <v>気仙沼市長磯原ノ沢５０－２</v>
      </c>
      <c r="F265" s="2" t="str">
        <f>"0226-27-2315  "</f>
        <v xml:space="preserve">0226-27-2315  </v>
      </c>
      <c r="G265" s="3" t="s">
        <v>743</v>
      </c>
    </row>
    <row r="266" spans="1:7" x14ac:dyDescent="0.4">
      <c r="A266" s="2">
        <v>265</v>
      </c>
      <c r="B266" s="2" t="s">
        <v>4</v>
      </c>
      <c r="C266" s="2" t="s">
        <v>774</v>
      </c>
      <c r="D266" s="3" t="s">
        <v>773</v>
      </c>
      <c r="E266" s="3" t="str">
        <f>"気仙沼市田谷１１－１１"</f>
        <v>気仙沼市田谷１１－１１</v>
      </c>
      <c r="F266" s="2" t="str">
        <f>"0226-29-6482  "</f>
        <v xml:space="preserve">0226-29-6482  </v>
      </c>
      <c r="G266" s="3" t="s">
        <v>26</v>
      </c>
    </row>
    <row r="267" spans="1:7" x14ac:dyDescent="0.4">
      <c r="A267" s="2">
        <v>266</v>
      </c>
      <c r="B267" s="2" t="s">
        <v>4</v>
      </c>
      <c r="C267" s="2" t="s">
        <v>772</v>
      </c>
      <c r="D267" s="3" t="s">
        <v>771</v>
      </c>
      <c r="E267" s="3" t="s">
        <v>770</v>
      </c>
      <c r="F267" s="2" t="str">
        <f>"0226-29-6711  "</f>
        <v xml:space="preserve">0226-29-6711  </v>
      </c>
      <c r="G267" s="3" t="s">
        <v>97</v>
      </c>
    </row>
    <row r="268" spans="1:7" x14ac:dyDescent="0.4">
      <c r="A268" s="2">
        <v>267</v>
      </c>
      <c r="B268" s="2" t="s">
        <v>4</v>
      </c>
      <c r="C268" s="2" t="s">
        <v>769</v>
      </c>
      <c r="D268" s="3" t="s">
        <v>768</v>
      </c>
      <c r="E268" s="3" t="str">
        <f>"気仙沼市唐桑町宿浦４０５－８"</f>
        <v>気仙沼市唐桑町宿浦４０５－８</v>
      </c>
      <c r="F268" s="2" t="str">
        <f>"0226-32-3128  "</f>
        <v xml:space="preserve">0226-32-3128  </v>
      </c>
      <c r="G268" s="3" t="s">
        <v>767</v>
      </c>
    </row>
    <row r="269" spans="1:7" x14ac:dyDescent="0.4">
      <c r="A269" s="2">
        <v>268</v>
      </c>
      <c r="B269" s="2" t="s">
        <v>4</v>
      </c>
      <c r="C269" s="2" t="s">
        <v>766</v>
      </c>
      <c r="D269" s="3" t="s">
        <v>765</v>
      </c>
      <c r="E269" s="3" t="str">
        <f>"気仙沼市東新城３－１０－８"</f>
        <v>気仙沼市東新城３－１０－８</v>
      </c>
      <c r="F269" s="2" t="str">
        <f>"0226-23-5855  "</f>
        <v xml:space="preserve">0226-23-5855  </v>
      </c>
      <c r="G269" s="3" t="s">
        <v>5</v>
      </c>
    </row>
    <row r="270" spans="1:7" ht="37.5" x14ac:dyDescent="0.4">
      <c r="A270" s="2">
        <v>269</v>
      </c>
      <c r="B270" s="2" t="s">
        <v>4</v>
      </c>
      <c r="C270" s="2" t="s">
        <v>764</v>
      </c>
      <c r="D270" s="3" t="s">
        <v>763</v>
      </c>
      <c r="E270" s="3" t="s">
        <v>762</v>
      </c>
      <c r="F270" s="2" t="str">
        <f>"0226-42-2621  "</f>
        <v xml:space="preserve">0226-42-2621  </v>
      </c>
      <c r="G270" s="3" t="s">
        <v>761</v>
      </c>
    </row>
    <row r="271" spans="1:7" x14ac:dyDescent="0.4">
      <c r="A271" s="2">
        <v>270</v>
      </c>
      <c r="B271" s="2" t="s">
        <v>4</v>
      </c>
      <c r="C271" s="2" t="s">
        <v>760</v>
      </c>
      <c r="D271" s="3" t="s">
        <v>759</v>
      </c>
      <c r="E271" s="3" t="str">
        <f>"宮城郡七ケ浜町松ケ浜字謡１３７－２０"</f>
        <v>宮城郡七ケ浜町松ケ浜字謡１３７－２０</v>
      </c>
      <c r="F271" s="2" t="str">
        <f>"022-357-7531  "</f>
        <v xml:space="preserve">022-357-7531  </v>
      </c>
      <c r="G271" s="3" t="s">
        <v>758</v>
      </c>
    </row>
    <row r="272" spans="1:7" x14ac:dyDescent="0.4">
      <c r="A272" s="2">
        <v>271</v>
      </c>
      <c r="B272" s="2" t="s">
        <v>4</v>
      </c>
      <c r="C272" s="2" t="s">
        <v>757</v>
      </c>
      <c r="D272" s="3" t="s">
        <v>756</v>
      </c>
      <c r="E272" s="3" t="str">
        <f>"宮城郡松島町磯崎字磯崎２－８"</f>
        <v>宮城郡松島町磯崎字磯崎２－８</v>
      </c>
      <c r="F272" s="2" t="str">
        <f>"022-353-2333  "</f>
        <v xml:space="preserve">022-353-2333  </v>
      </c>
      <c r="G272" s="3" t="s">
        <v>755</v>
      </c>
    </row>
    <row r="273" spans="1:7" x14ac:dyDescent="0.4">
      <c r="A273" s="2">
        <v>272</v>
      </c>
      <c r="B273" s="2" t="s">
        <v>4</v>
      </c>
      <c r="C273" s="2" t="s">
        <v>754</v>
      </c>
      <c r="D273" s="3" t="s">
        <v>753</v>
      </c>
      <c r="E273" s="3" t="str">
        <f>"宮城郡松島町高城字浜１－２６"</f>
        <v>宮城郡松島町高城字浜１－２６</v>
      </c>
      <c r="F273" s="2" t="str">
        <f>"022-354-5811  "</f>
        <v xml:space="preserve">022-354-5811  </v>
      </c>
      <c r="G273" s="3" t="s">
        <v>26</v>
      </c>
    </row>
    <row r="274" spans="1:7" ht="37.5" x14ac:dyDescent="0.4">
      <c r="A274" s="2">
        <v>273</v>
      </c>
      <c r="B274" s="2" t="s">
        <v>4</v>
      </c>
      <c r="C274" s="2" t="s">
        <v>752</v>
      </c>
      <c r="D274" s="3" t="s">
        <v>751</v>
      </c>
      <c r="E274" s="3" t="str">
        <f>"宮城郡松島町松島字普賢堂２－１１"</f>
        <v>宮城郡松島町松島字普賢堂２－１１</v>
      </c>
      <c r="F274" s="2" t="str">
        <f>"022-354-3702  "</f>
        <v xml:space="preserve">022-354-3702  </v>
      </c>
      <c r="G274" s="3" t="s">
        <v>26</v>
      </c>
    </row>
    <row r="275" spans="1:7" x14ac:dyDescent="0.4">
      <c r="A275" s="2">
        <v>274</v>
      </c>
      <c r="B275" s="2" t="s">
        <v>4</v>
      </c>
      <c r="C275" s="2" t="s">
        <v>750</v>
      </c>
      <c r="D275" s="3" t="s">
        <v>749</v>
      </c>
      <c r="E275" s="3" t="str">
        <f>"宮城郡利府町花園１－２０１－２"</f>
        <v>宮城郡利府町花園１－２０１－２</v>
      </c>
      <c r="F275" s="2" t="str">
        <f>"022-767-4146  "</f>
        <v xml:space="preserve">022-767-4146  </v>
      </c>
      <c r="G275" s="3" t="s">
        <v>5</v>
      </c>
    </row>
    <row r="276" spans="1:7" x14ac:dyDescent="0.4">
      <c r="A276" s="2">
        <v>275</v>
      </c>
      <c r="B276" s="2" t="s">
        <v>4</v>
      </c>
      <c r="C276" s="2" t="s">
        <v>748</v>
      </c>
      <c r="D276" s="3" t="s">
        <v>745</v>
      </c>
      <c r="E276" s="3" t="s">
        <v>744</v>
      </c>
      <c r="F276" s="2" t="str">
        <f>"022-356-8200  "</f>
        <v xml:space="preserve">022-356-8200  </v>
      </c>
      <c r="G276" s="3" t="s">
        <v>747</v>
      </c>
    </row>
    <row r="277" spans="1:7" x14ac:dyDescent="0.4">
      <c r="A277" s="2">
        <v>276</v>
      </c>
      <c r="B277" s="2" t="s">
        <v>4</v>
      </c>
      <c r="C277" s="2" t="s">
        <v>746</v>
      </c>
      <c r="D277" s="3" t="s">
        <v>745</v>
      </c>
      <c r="E277" s="3" t="s">
        <v>744</v>
      </c>
      <c r="F277" s="2" t="str">
        <f>"022-356-8200  "</f>
        <v xml:space="preserve">022-356-8200  </v>
      </c>
      <c r="G277" s="3" t="s">
        <v>743</v>
      </c>
    </row>
    <row r="278" spans="1:7" x14ac:dyDescent="0.4">
      <c r="A278" s="2">
        <v>277</v>
      </c>
      <c r="B278" s="2" t="s">
        <v>4</v>
      </c>
      <c r="C278" s="2" t="s">
        <v>742</v>
      </c>
      <c r="D278" s="3" t="s">
        <v>741</v>
      </c>
      <c r="E278" s="3" t="s">
        <v>740</v>
      </c>
      <c r="F278" s="2" t="str">
        <f>"022-253-7549  "</f>
        <v xml:space="preserve">022-253-7549  </v>
      </c>
      <c r="G278" s="3" t="s">
        <v>9</v>
      </c>
    </row>
    <row r="279" spans="1:7" x14ac:dyDescent="0.4">
      <c r="A279" s="2">
        <v>278</v>
      </c>
      <c r="B279" s="2" t="s">
        <v>4</v>
      </c>
      <c r="C279" s="2" t="s">
        <v>739</v>
      </c>
      <c r="D279" s="3" t="s">
        <v>737</v>
      </c>
      <c r="E279" s="3" t="s">
        <v>736</v>
      </c>
      <c r="F279" s="2" t="str">
        <f>"022-767-2151  "</f>
        <v xml:space="preserve">022-767-2151  </v>
      </c>
      <c r="G279" s="3" t="s">
        <v>79</v>
      </c>
    </row>
    <row r="280" spans="1:7" x14ac:dyDescent="0.4">
      <c r="A280" s="2">
        <v>279</v>
      </c>
      <c r="B280" s="2" t="s">
        <v>4</v>
      </c>
      <c r="C280" s="2" t="s">
        <v>738</v>
      </c>
      <c r="D280" s="3" t="s">
        <v>737</v>
      </c>
      <c r="E280" s="3" t="s">
        <v>736</v>
      </c>
      <c r="F280" s="2" t="str">
        <f>"022-767-2151  "</f>
        <v xml:space="preserve">022-767-2151  </v>
      </c>
      <c r="G280" s="3" t="s">
        <v>26</v>
      </c>
    </row>
    <row r="281" spans="1:7" x14ac:dyDescent="0.4">
      <c r="A281" s="2">
        <v>280</v>
      </c>
      <c r="B281" s="2" t="s">
        <v>4</v>
      </c>
      <c r="C281" s="2" t="s">
        <v>735</v>
      </c>
      <c r="D281" s="3" t="s">
        <v>724</v>
      </c>
      <c r="E281" s="3" t="str">
        <f>"宮城郡利府町青葉台2-2-108"</f>
        <v>宮城郡利府町青葉台2-2-108</v>
      </c>
      <c r="F281" s="2" t="str">
        <f t="shared" ref="F281:F289" si="7">"022-355-4111  "</f>
        <v xml:space="preserve">022-355-4111  </v>
      </c>
      <c r="G281" s="3" t="s">
        <v>97</v>
      </c>
    </row>
    <row r="282" spans="1:7" x14ac:dyDescent="0.4">
      <c r="A282" s="2">
        <v>281</v>
      </c>
      <c r="B282" s="2" t="s">
        <v>4</v>
      </c>
      <c r="C282" s="2" t="s">
        <v>734</v>
      </c>
      <c r="D282" s="3" t="s">
        <v>726</v>
      </c>
      <c r="E282" s="3" t="str">
        <f t="shared" ref="E282:E288" si="8">"宮城郡利府町青葉台２丁目２－１０８"</f>
        <v>宮城郡利府町青葉台２丁目２－１０８</v>
      </c>
      <c r="F282" s="2" t="str">
        <f t="shared" si="7"/>
        <v xml:space="preserve">022-355-4111  </v>
      </c>
      <c r="G282" s="3" t="s">
        <v>533</v>
      </c>
    </row>
    <row r="283" spans="1:7" x14ac:dyDescent="0.4">
      <c r="A283" s="2">
        <v>282</v>
      </c>
      <c r="B283" s="2" t="s">
        <v>4</v>
      </c>
      <c r="C283" s="2" t="s">
        <v>733</v>
      </c>
      <c r="D283" s="3" t="s">
        <v>724</v>
      </c>
      <c r="E283" s="3" t="str">
        <f t="shared" si="8"/>
        <v>宮城郡利府町青葉台２丁目２－１０８</v>
      </c>
      <c r="F283" s="2" t="str">
        <f t="shared" si="7"/>
        <v xml:space="preserve">022-355-4111  </v>
      </c>
      <c r="G283" s="3" t="s">
        <v>732</v>
      </c>
    </row>
    <row r="284" spans="1:7" x14ac:dyDescent="0.4">
      <c r="A284" s="2">
        <v>283</v>
      </c>
      <c r="B284" s="2" t="s">
        <v>4</v>
      </c>
      <c r="C284" s="2" t="s">
        <v>731</v>
      </c>
      <c r="D284" s="3" t="s">
        <v>724</v>
      </c>
      <c r="E284" s="3" t="str">
        <f t="shared" si="8"/>
        <v>宮城郡利府町青葉台２丁目２－１０８</v>
      </c>
      <c r="F284" s="2" t="str">
        <f t="shared" si="7"/>
        <v xml:space="preserve">022-355-4111  </v>
      </c>
      <c r="G284" s="3" t="s">
        <v>97</v>
      </c>
    </row>
    <row r="285" spans="1:7" x14ac:dyDescent="0.4">
      <c r="A285" s="2">
        <v>284</v>
      </c>
      <c r="B285" s="2" t="s">
        <v>4</v>
      </c>
      <c r="C285" s="2" t="s">
        <v>730</v>
      </c>
      <c r="D285" s="3" t="s">
        <v>724</v>
      </c>
      <c r="E285" s="3" t="str">
        <f t="shared" si="8"/>
        <v>宮城郡利府町青葉台２丁目２－１０８</v>
      </c>
      <c r="F285" s="2" t="str">
        <f t="shared" si="7"/>
        <v xml:space="preserve">022-355-4111  </v>
      </c>
      <c r="G285" s="3" t="s">
        <v>97</v>
      </c>
    </row>
    <row r="286" spans="1:7" x14ac:dyDescent="0.4">
      <c r="A286" s="2">
        <v>285</v>
      </c>
      <c r="B286" s="2" t="s">
        <v>4</v>
      </c>
      <c r="C286" s="2" t="s">
        <v>729</v>
      </c>
      <c r="D286" s="3" t="s">
        <v>724</v>
      </c>
      <c r="E286" s="3" t="str">
        <f t="shared" si="8"/>
        <v>宮城郡利府町青葉台２丁目２－１０８</v>
      </c>
      <c r="F286" s="2" t="str">
        <f t="shared" si="7"/>
        <v xml:space="preserve">022-355-4111  </v>
      </c>
      <c r="G286" s="3" t="s">
        <v>26</v>
      </c>
    </row>
    <row r="287" spans="1:7" x14ac:dyDescent="0.4">
      <c r="A287" s="2">
        <v>286</v>
      </c>
      <c r="B287" s="2" t="s">
        <v>4</v>
      </c>
      <c r="C287" s="2" t="s">
        <v>728</v>
      </c>
      <c r="D287" s="3" t="s">
        <v>726</v>
      </c>
      <c r="E287" s="3" t="str">
        <f t="shared" si="8"/>
        <v>宮城郡利府町青葉台２丁目２－１０８</v>
      </c>
      <c r="F287" s="2" t="str">
        <f t="shared" si="7"/>
        <v xml:space="preserve">022-355-4111  </v>
      </c>
      <c r="G287" s="3" t="s">
        <v>75</v>
      </c>
    </row>
    <row r="288" spans="1:7" x14ac:dyDescent="0.4">
      <c r="A288" s="2">
        <v>287</v>
      </c>
      <c r="B288" s="2" t="s">
        <v>4</v>
      </c>
      <c r="C288" s="2" t="s">
        <v>727</v>
      </c>
      <c r="D288" s="3" t="s">
        <v>726</v>
      </c>
      <c r="E288" s="3" t="str">
        <f t="shared" si="8"/>
        <v>宮城郡利府町青葉台２丁目２－１０８</v>
      </c>
      <c r="F288" s="2" t="str">
        <f t="shared" si="7"/>
        <v xml:space="preserve">022-355-4111  </v>
      </c>
      <c r="G288" s="3" t="s">
        <v>75</v>
      </c>
    </row>
    <row r="289" spans="1:7" x14ac:dyDescent="0.4">
      <c r="A289" s="2">
        <v>288</v>
      </c>
      <c r="B289" s="2" t="s">
        <v>4</v>
      </c>
      <c r="C289" s="2" t="s">
        <v>725</v>
      </c>
      <c r="D289" s="3" t="s">
        <v>724</v>
      </c>
      <c r="E289" s="3" t="str">
        <f>"宮城郡利府町青葉台二丁目２－１０８"</f>
        <v>宮城郡利府町青葉台二丁目２－１０８</v>
      </c>
      <c r="F289" s="2" t="str">
        <f t="shared" si="7"/>
        <v xml:space="preserve">022-355-4111  </v>
      </c>
      <c r="G289" s="3" t="s">
        <v>75</v>
      </c>
    </row>
    <row r="290" spans="1:7" x14ac:dyDescent="0.4">
      <c r="A290" s="2">
        <v>289</v>
      </c>
      <c r="B290" s="2" t="s">
        <v>4</v>
      </c>
      <c r="C290" s="2" t="s">
        <v>723</v>
      </c>
      <c r="D290" s="3" t="s">
        <v>722</v>
      </c>
      <c r="E290" s="3" t="str">
        <f>"宮城郡利府町沢乙字寺下２－１"</f>
        <v>宮城郡利府町沢乙字寺下２－１</v>
      </c>
      <c r="F290" s="2" t="str">
        <f>"022-356-7007  "</f>
        <v xml:space="preserve">022-356-7007  </v>
      </c>
      <c r="G290" s="3" t="s">
        <v>97</v>
      </c>
    </row>
    <row r="291" spans="1:7" x14ac:dyDescent="0.4">
      <c r="A291" s="2">
        <v>290</v>
      </c>
      <c r="B291" s="2" t="s">
        <v>4</v>
      </c>
      <c r="C291" s="2" t="s">
        <v>721</v>
      </c>
      <c r="D291" s="3" t="s">
        <v>720</v>
      </c>
      <c r="E291" s="3" t="str">
        <f>"宮城郡利府町沢乙字新北橋８７－１"</f>
        <v>宮城郡利府町沢乙字新北橋８７－１</v>
      </c>
      <c r="F291" s="2" t="str">
        <f>"022-767-8741  "</f>
        <v xml:space="preserve">022-767-8741  </v>
      </c>
      <c r="G291" s="3" t="s">
        <v>171</v>
      </c>
    </row>
    <row r="292" spans="1:7" ht="37.5" x14ac:dyDescent="0.4">
      <c r="A292" s="2">
        <v>291</v>
      </c>
      <c r="B292" s="2" t="s">
        <v>4</v>
      </c>
      <c r="C292" s="2" t="s">
        <v>719</v>
      </c>
      <c r="D292" s="3" t="s">
        <v>718</v>
      </c>
      <c r="E292" s="3" t="str">
        <f>"宮城郡利府町中央２－７－７"</f>
        <v>宮城郡利府町中央２－７－７</v>
      </c>
      <c r="F292" s="2" t="str">
        <f>"022-385-5161  "</f>
        <v xml:space="preserve">022-385-5161  </v>
      </c>
      <c r="G292" s="3" t="s">
        <v>717</v>
      </c>
    </row>
    <row r="293" spans="1:7" ht="37.5" x14ac:dyDescent="0.4">
      <c r="A293" s="2">
        <v>292</v>
      </c>
      <c r="B293" s="2" t="s">
        <v>4</v>
      </c>
      <c r="C293" s="2" t="s">
        <v>716</v>
      </c>
      <c r="D293" s="3" t="s">
        <v>713</v>
      </c>
      <c r="E293" s="3" t="s">
        <v>715</v>
      </c>
      <c r="F293" s="2" t="str">
        <f>"022-369-3670  "</f>
        <v xml:space="preserve">022-369-3670  </v>
      </c>
      <c r="G293" s="3" t="s">
        <v>711</v>
      </c>
    </row>
    <row r="294" spans="1:7" ht="37.5" x14ac:dyDescent="0.4">
      <c r="A294" s="2">
        <v>293</v>
      </c>
      <c r="B294" s="2" t="s">
        <v>4</v>
      </c>
      <c r="C294" s="2" t="s">
        <v>714</v>
      </c>
      <c r="D294" s="3" t="s">
        <v>713</v>
      </c>
      <c r="E294" s="3" t="s">
        <v>712</v>
      </c>
      <c r="F294" s="2" t="s">
        <v>135</v>
      </c>
      <c r="G294" s="3" t="s">
        <v>711</v>
      </c>
    </row>
    <row r="295" spans="1:7" ht="37.5" x14ac:dyDescent="0.4">
      <c r="A295" s="2">
        <v>294</v>
      </c>
      <c r="B295" s="2" t="s">
        <v>4</v>
      </c>
      <c r="C295" s="2" t="s">
        <v>710</v>
      </c>
      <c r="D295" s="3" t="s">
        <v>709</v>
      </c>
      <c r="E295" s="3" t="str">
        <f>"宮城郡利府町利府字新館２－５"</f>
        <v>宮城郡利府町利府字新館２－５</v>
      </c>
      <c r="F295" s="2" t="str">
        <f>"022-766-4141  "</f>
        <v xml:space="preserve">022-766-4141  </v>
      </c>
      <c r="G295" s="3" t="s">
        <v>708</v>
      </c>
    </row>
    <row r="296" spans="1:7" x14ac:dyDescent="0.4">
      <c r="A296" s="2">
        <v>295</v>
      </c>
      <c r="B296" s="2" t="s">
        <v>4</v>
      </c>
      <c r="C296" s="2" t="s">
        <v>707</v>
      </c>
      <c r="D296" s="3" t="s">
        <v>706</v>
      </c>
      <c r="E296" s="3" t="str">
        <f>"栗原市一迫真坂字真坂町東６６－１"</f>
        <v>栗原市一迫真坂字真坂町東６６－１</v>
      </c>
      <c r="F296" s="2" t="str">
        <f>"0228-52-2122  "</f>
        <v xml:space="preserve">0228-52-2122  </v>
      </c>
      <c r="G296" s="3" t="s">
        <v>26</v>
      </c>
    </row>
    <row r="297" spans="1:7" x14ac:dyDescent="0.4">
      <c r="A297" s="2">
        <v>296</v>
      </c>
      <c r="B297" s="2" t="s">
        <v>4</v>
      </c>
      <c r="C297" s="2" t="s">
        <v>705</v>
      </c>
      <c r="D297" s="3" t="s">
        <v>704</v>
      </c>
      <c r="E297" s="3" t="str">
        <f>"栗原市一迫真坂字清水山王前４－１"</f>
        <v>栗原市一迫真坂字清水山王前４－１</v>
      </c>
      <c r="F297" s="2" t="str">
        <f>"0228-52-2627  "</f>
        <v xml:space="preserve">0228-52-2627  </v>
      </c>
      <c r="G297" s="3" t="s">
        <v>97</v>
      </c>
    </row>
    <row r="298" spans="1:7" x14ac:dyDescent="0.4">
      <c r="A298" s="2">
        <v>297</v>
      </c>
      <c r="B298" s="2" t="s">
        <v>4</v>
      </c>
      <c r="C298" s="2" t="s">
        <v>703</v>
      </c>
      <c r="D298" s="3" t="s">
        <v>702</v>
      </c>
      <c r="E298" s="3" t="s">
        <v>701</v>
      </c>
      <c r="F298" s="2" t="str">
        <f>"0228-52-2881  "</f>
        <v xml:space="preserve">0228-52-2881  </v>
      </c>
      <c r="G298" s="3" t="s">
        <v>26</v>
      </c>
    </row>
    <row r="299" spans="1:7" ht="37.5" x14ac:dyDescent="0.4">
      <c r="A299" s="2">
        <v>298</v>
      </c>
      <c r="B299" s="2" t="s">
        <v>4</v>
      </c>
      <c r="C299" s="2" t="s">
        <v>700</v>
      </c>
      <c r="D299" s="3" t="s">
        <v>699</v>
      </c>
      <c r="E299" s="3" t="s">
        <v>698</v>
      </c>
      <c r="F299" s="2" t="str">
        <f>"0228-52-5115  "</f>
        <v xml:space="preserve">0228-52-5115  </v>
      </c>
      <c r="G299" s="3" t="s">
        <v>697</v>
      </c>
    </row>
    <row r="300" spans="1:7" ht="37.5" x14ac:dyDescent="0.4">
      <c r="A300" s="2">
        <v>299</v>
      </c>
      <c r="B300" s="2" t="s">
        <v>4</v>
      </c>
      <c r="C300" s="2" t="s">
        <v>696</v>
      </c>
      <c r="D300" s="3" t="s">
        <v>695</v>
      </c>
      <c r="E300" s="3" t="str">
        <f>"栗原市若柳字川南上堤９０－３"</f>
        <v>栗原市若柳字川南上堤９０－３</v>
      </c>
      <c r="F300" s="2" t="str">
        <f>"0228-32-5430  "</f>
        <v xml:space="preserve">0228-32-5430  </v>
      </c>
      <c r="G300" s="3" t="s">
        <v>97</v>
      </c>
    </row>
    <row r="301" spans="1:7" x14ac:dyDescent="0.4">
      <c r="A301" s="2">
        <v>300</v>
      </c>
      <c r="B301" s="2" t="s">
        <v>4</v>
      </c>
      <c r="C301" s="2" t="s">
        <v>694</v>
      </c>
      <c r="D301" s="3" t="s">
        <v>693</v>
      </c>
      <c r="E301" s="3" t="str">
        <f>"栗原市若柳字川南堤通１９－１"</f>
        <v>栗原市若柳字川南堤通１９－１</v>
      </c>
      <c r="F301" s="2" t="str">
        <f>"0228-24-9490  "</f>
        <v xml:space="preserve">0228-24-9490  </v>
      </c>
      <c r="G301" s="3" t="s">
        <v>5</v>
      </c>
    </row>
    <row r="302" spans="1:7" x14ac:dyDescent="0.4">
      <c r="A302" s="2">
        <v>301</v>
      </c>
      <c r="B302" s="2" t="s">
        <v>4</v>
      </c>
      <c r="C302" s="2" t="s">
        <v>692</v>
      </c>
      <c r="D302" s="3" t="s">
        <v>689</v>
      </c>
      <c r="E302" s="3" t="str">
        <f>"栗原市若柳字川北原畑　２３－４"</f>
        <v>栗原市若柳字川北原畑　２３－４</v>
      </c>
      <c r="F302" s="2" t="str">
        <f>"0228-32-2335  "</f>
        <v xml:space="preserve">0228-32-2335  </v>
      </c>
      <c r="G302" s="3" t="s">
        <v>26</v>
      </c>
    </row>
    <row r="303" spans="1:7" x14ac:dyDescent="0.4">
      <c r="A303" s="2">
        <v>302</v>
      </c>
      <c r="B303" s="2" t="s">
        <v>4</v>
      </c>
      <c r="C303" s="2" t="s">
        <v>691</v>
      </c>
      <c r="D303" s="3" t="s">
        <v>689</v>
      </c>
      <c r="E303" s="3" t="str">
        <f>"栗原市若柳字川北原畑２３－４"</f>
        <v>栗原市若柳字川北原畑２３－４</v>
      </c>
      <c r="F303" s="2" t="str">
        <f>"0228-32-2335  "</f>
        <v xml:space="preserve">0228-32-2335  </v>
      </c>
      <c r="G303" s="3" t="s">
        <v>365</v>
      </c>
    </row>
    <row r="304" spans="1:7" x14ac:dyDescent="0.4">
      <c r="A304" s="2">
        <v>303</v>
      </c>
      <c r="B304" s="2" t="s">
        <v>4</v>
      </c>
      <c r="C304" s="2" t="s">
        <v>690</v>
      </c>
      <c r="D304" s="3" t="s">
        <v>689</v>
      </c>
      <c r="E304" s="3" t="s">
        <v>688</v>
      </c>
      <c r="F304" s="2" t="str">
        <f>"0228-32-2335  "</f>
        <v xml:space="preserve">0228-32-2335  </v>
      </c>
      <c r="G304" s="3" t="s">
        <v>97</v>
      </c>
    </row>
    <row r="305" spans="1:7" x14ac:dyDescent="0.4">
      <c r="A305" s="2">
        <v>304</v>
      </c>
      <c r="B305" s="2" t="s">
        <v>4</v>
      </c>
      <c r="C305" s="2" t="s">
        <v>687</v>
      </c>
      <c r="D305" s="3" t="s">
        <v>686</v>
      </c>
      <c r="E305" s="3" t="s">
        <v>685</v>
      </c>
      <c r="F305" s="2" t="str">
        <f>"0228-32-2583  "</f>
        <v xml:space="preserve">0228-32-2583  </v>
      </c>
      <c r="G305" s="3" t="s">
        <v>294</v>
      </c>
    </row>
    <row r="306" spans="1:7" x14ac:dyDescent="0.4">
      <c r="A306" s="2">
        <v>305</v>
      </c>
      <c r="B306" s="2" t="s">
        <v>4</v>
      </c>
      <c r="C306" s="2" t="s">
        <v>684</v>
      </c>
      <c r="D306" s="3" t="s">
        <v>683</v>
      </c>
      <c r="E306" s="3" t="str">
        <f>"栗原市築館伊豆４－５－１５"</f>
        <v>栗原市築館伊豆４－５－１５</v>
      </c>
      <c r="F306" s="2" t="str">
        <f>"0228-22-7488  "</f>
        <v xml:space="preserve">0228-22-7488  </v>
      </c>
      <c r="G306" s="3" t="s">
        <v>5</v>
      </c>
    </row>
    <row r="307" spans="1:7" x14ac:dyDescent="0.4">
      <c r="A307" s="2">
        <v>306</v>
      </c>
      <c r="B307" s="2" t="s">
        <v>4</v>
      </c>
      <c r="C307" s="2" t="s">
        <v>682</v>
      </c>
      <c r="D307" s="3" t="s">
        <v>672</v>
      </c>
      <c r="E307" s="3" t="str">
        <f t="shared" ref="E307:E316" si="9">"栗原市築館宮野中央　３－１－１"</f>
        <v>栗原市築館宮野中央　３－１－１</v>
      </c>
      <c r="F307" s="2" t="str">
        <f t="shared" ref="F307:F316" si="10">"0228-21-5330  "</f>
        <v xml:space="preserve">0228-21-5330  </v>
      </c>
      <c r="G307" s="3" t="s">
        <v>26</v>
      </c>
    </row>
    <row r="308" spans="1:7" x14ac:dyDescent="0.4">
      <c r="A308" s="2">
        <v>307</v>
      </c>
      <c r="B308" s="2" t="s">
        <v>4</v>
      </c>
      <c r="C308" s="2" t="s">
        <v>681</v>
      </c>
      <c r="D308" s="3" t="s">
        <v>672</v>
      </c>
      <c r="E308" s="3" t="str">
        <f t="shared" si="9"/>
        <v>栗原市築館宮野中央　３－１－１</v>
      </c>
      <c r="F308" s="2" t="str">
        <f t="shared" si="10"/>
        <v xml:space="preserve">0228-21-5330  </v>
      </c>
      <c r="G308" s="3" t="s">
        <v>26</v>
      </c>
    </row>
    <row r="309" spans="1:7" x14ac:dyDescent="0.4">
      <c r="A309" s="2">
        <v>308</v>
      </c>
      <c r="B309" s="2" t="s">
        <v>4</v>
      </c>
      <c r="C309" s="2" t="s">
        <v>680</v>
      </c>
      <c r="D309" s="3" t="s">
        <v>672</v>
      </c>
      <c r="E309" s="3" t="str">
        <f t="shared" si="9"/>
        <v>栗原市築館宮野中央　３－１－１</v>
      </c>
      <c r="F309" s="2" t="str">
        <f t="shared" si="10"/>
        <v xml:space="preserve">0228-21-5330  </v>
      </c>
      <c r="G309" s="3" t="s">
        <v>26</v>
      </c>
    </row>
    <row r="310" spans="1:7" x14ac:dyDescent="0.4">
      <c r="A310" s="2">
        <v>309</v>
      </c>
      <c r="B310" s="2" t="s">
        <v>4</v>
      </c>
      <c r="C310" s="2" t="s">
        <v>679</v>
      </c>
      <c r="D310" s="3" t="s">
        <v>672</v>
      </c>
      <c r="E310" s="3" t="str">
        <f t="shared" si="9"/>
        <v>栗原市築館宮野中央　３－１－１</v>
      </c>
      <c r="F310" s="2" t="str">
        <f t="shared" si="10"/>
        <v xml:space="preserve">0228-21-5330  </v>
      </c>
      <c r="G310" s="3" t="s">
        <v>97</v>
      </c>
    </row>
    <row r="311" spans="1:7" x14ac:dyDescent="0.4">
      <c r="A311" s="2">
        <v>310</v>
      </c>
      <c r="B311" s="2" t="s">
        <v>4</v>
      </c>
      <c r="C311" s="2" t="s">
        <v>678</v>
      </c>
      <c r="D311" s="3" t="s">
        <v>672</v>
      </c>
      <c r="E311" s="3" t="str">
        <f t="shared" si="9"/>
        <v>栗原市築館宮野中央　３－１－１</v>
      </c>
      <c r="F311" s="2" t="str">
        <f t="shared" si="10"/>
        <v xml:space="preserve">0228-21-5330  </v>
      </c>
      <c r="G311" s="3" t="s">
        <v>97</v>
      </c>
    </row>
    <row r="312" spans="1:7" x14ac:dyDescent="0.4">
      <c r="A312" s="2">
        <v>311</v>
      </c>
      <c r="B312" s="2" t="s">
        <v>4</v>
      </c>
      <c r="C312" s="2" t="s">
        <v>677</v>
      </c>
      <c r="D312" s="3" t="s">
        <v>672</v>
      </c>
      <c r="E312" s="3" t="str">
        <f t="shared" si="9"/>
        <v>栗原市築館宮野中央　３－１－１</v>
      </c>
      <c r="F312" s="2" t="str">
        <f t="shared" si="10"/>
        <v xml:space="preserve">0228-21-5330  </v>
      </c>
      <c r="G312" s="3" t="s">
        <v>180</v>
      </c>
    </row>
    <row r="313" spans="1:7" x14ac:dyDescent="0.4">
      <c r="A313" s="2">
        <v>312</v>
      </c>
      <c r="B313" s="2" t="s">
        <v>4</v>
      </c>
      <c r="C313" s="2" t="s">
        <v>676</v>
      </c>
      <c r="D313" s="3" t="s">
        <v>672</v>
      </c>
      <c r="E313" s="3" t="str">
        <f t="shared" si="9"/>
        <v>栗原市築館宮野中央　３－１－１</v>
      </c>
      <c r="F313" s="2" t="str">
        <f t="shared" si="10"/>
        <v xml:space="preserve">0228-21-5330  </v>
      </c>
      <c r="G313" s="3" t="s">
        <v>180</v>
      </c>
    </row>
    <row r="314" spans="1:7" x14ac:dyDescent="0.4">
      <c r="A314" s="2">
        <v>313</v>
      </c>
      <c r="B314" s="2" t="s">
        <v>4</v>
      </c>
      <c r="C314" s="2" t="s">
        <v>675</v>
      </c>
      <c r="D314" s="3" t="s">
        <v>672</v>
      </c>
      <c r="E314" s="3" t="str">
        <f t="shared" si="9"/>
        <v>栗原市築館宮野中央　３－１－１</v>
      </c>
      <c r="F314" s="2" t="str">
        <f t="shared" si="10"/>
        <v xml:space="preserve">0228-21-5330  </v>
      </c>
      <c r="G314" s="3" t="s">
        <v>26</v>
      </c>
    </row>
    <row r="315" spans="1:7" x14ac:dyDescent="0.4">
      <c r="A315" s="2">
        <v>314</v>
      </c>
      <c r="B315" s="2" t="s">
        <v>4</v>
      </c>
      <c r="C315" s="2" t="s">
        <v>674</v>
      </c>
      <c r="D315" s="3" t="s">
        <v>672</v>
      </c>
      <c r="E315" s="3" t="str">
        <f t="shared" si="9"/>
        <v>栗原市築館宮野中央　３－１－１</v>
      </c>
      <c r="F315" s="2" t="str">
        <f t="shared" si="10"/>
        <v xml:space="preserve">0228-21-5330  </v>
      </c>
      <c r="G315" s="3" t="s">
        <v>79</v>
      </c>
    </row>
    <row r="316" spans="1:7" x14ac:dyDescent="0.4">
      <c r="A316" s="2">
        <v>315</v>
      </c>
      <c r="B316" s="2" t="s">
        <v>4</v>
      </c>
      <c r="C316" s="2" t="s">
        <v>673</v>
      </c>
      <c r="D316" s="3" t="s">
        <v>672</v>
      </c>
      <c r="E316" s="3" t="str">
        <f t="shared" si="9"/>
        <v>栗原市築館宮野中央　３－１－１</v>
      </c>
      <c r="F316" s="2" t="str">
        <f t="shared" si="10"/>
        <v xml:space="preserve">0228-21-5330  </v>
      </c>
      <c r="G316" s="3" t="s">
        <v>180</v>
      </c>
    </row>
    <row r="317" spans="1:7" x14ac:dyDescent="0.4">
      <c r="A317" s="2">
        <v>316</v>
      </c>
      <c r="B317" s="2" t="s">
        <v>4</v>
      </c>
      <c r="C317" s="2" t="s">
        <v>671</v>
      </c>
      <c r="D317" s="3" t="s">
        <v>670</v>
      </c>
      <c r="E317" s="3" t="str">
        <f>"栗原市築館宮野中央２－３－１３"</f>
        <v>栗原市築館宮野中央２－３－１３</v>
      </c>
      <c r="F317" s="2" t="str">
        <f>"0228-24-9055  "</f>
        <v xml:space="preserve">0228-24-9055  </v>
      </c>
      <c r="G317" s="3" t="s">
        <v>26</v>
      </c>
    </row>
    <row r="318" spans="1:7" x14ac:dyDescent="0.4">
      <c r="A318" s="2">
        <v>317</v>
      </c>
      <c r="B318" s="2" t="s">
        <v>4</v>
      </c>
      <c r="C318" s="2" t="s">
        <v>669</v>
      </c>
      <c r="D318" s="3" t="s">
        <v>668</v>
      </c>
      <c r="E318" s="3" t="str">
        <f>"栗原市築館高田２－２－２０"</f>
        <v>栗原市築館高田２－２－２０</v>
      </c>
      <c r="F318" s="2" t="str">
        <f>"0228-22-0066  "</f>
        <v xml:space="preserve">0228-22-0066  </v>
      </c>
      <c r="G318" s="3" t="s">
        <v>97</v>
      </c>
    </row>
    <row r="319" spans="1:7" x14ac:dyDescent="0.4">
      <c r="A319" s="2">
        <v>318</v>
      </c>
      <c r="B319" s="2" t="s">
        <v>4</v>
      </c>
      <c r="C319" s="2" t="s">
        <v>667</v>
      </c>
      <c r="D319" s="3" t="s">
        <v>666</v>
      </c>
      <c r="E319" s="3" t="str">
        <f>"栗原市築館字下宮野桜町48-1"</f>
        <v>栗原市築館字下宮野桜町48-1</v>
      </c>
      <c r="F319" s="2" t="str">
        <f>"0228-25-4121  "</f>
        <v xml:space="preserve">0228-25-4121  </v>
      </c>
      <c r="G319" s="3" t="s">
        <v>64</v>
      </c>
    </row>
    <row r="320" spans="1:7" x14ac:dyDescent="0.4">
      <c r="A320" s="2">
        <v>319</v>
      </c>
      <c r="B320" s="2" t="s">
        <v>4</v>
      </c>
      <c r="C320" s="2" t="s">
        <v>665</v>
      </c>
      <c r="D320" s="3" t="s">
        <v>664</v>
      </c>
      <c r="E320" s="3" t="str">
        <f>"黒川郡大郷町羽生字中ノ町１１－１"</f>
        <v>黒川郡大郷町羽生字中ノ町１１－１</v>
      </c>
      <c r="F320" s="2" t="str">
        <f>"022-359-4123  "</f>
        <v xml:space="preserve">022-359-4123  </v>
      </c>
      <c r="G320" s="3" t="s">
        <v>663</v>
      </c>
    </row>
    <row r="321" spans="1:7" x14ac:dyDescent="0.4">
      <c r="A321" s="2">
        <v>320</v>
      </c>
      <c r="B321" s="2" t="s">
        <v>4</v>
      </c>
      <c r="C321" s="2" t="s">
        <v>662</v>
      </c>
      <c r="D321" s="3" t="s">
        <v>661</v>
      </c>
      <c r="E321" s="3" t="str">
        <f>"黒川郡大和町吉岡まほろば１－２－７"</f>
        <v>黒川郡大和町吉岡まほろば１－２－７</v>
      </c>
      <c r="F321" s="2" t="str">
        <f>"022-725-5030  "</f>
        <v xml:space="preserve">022-725-5030  </v>
      </c>
      <c r="G321" s="3" t="s">
        <v>280</v>
      </c>
    </row>
    <row r="322" spans="1:7" ht="37.5" x14ac:dyDescent="0.4">
      <c r="A322" s="2">
        <v>321</v>
      </c>
      <c r="B322" s="2" t="s">
        <v>4</v>
      </c>
      <c r="C322" s="2" t="s">
        <v>660</v>
      </c>
      <c r="D322" s="3" t="s">
        <v>659</v>
      </c>
      <c r="E322" s="3" t="str">
        <f>"黒川郡大和町吉岡まほろば１－７－９"</f>
        <v>黒川郡大和町吉岡まほろば１－７－９</v>
      </c>
      <c r="F322" s="2" t="str">
        <f>"022-725-4645  "</f>
        <v xml:space="preserve">022-725-4645  </v>
      </c>
      <c r="G322" s="3" t="s">
        <v>0</v>
      </c>
    </row>
    <row r="323" spans="1:7" x14ac:dyDescent="0.4">
      <c r="A323" s="2">
        <v>322</v>
      </c>
      <c r="B323" s="2" t="s">
        <v>4</v>
      </c>
      <c r="C323" s="2" t="s">
        <v>658</v>
      </c>
      <c r="D323" s="3" t="s">
        <v>657</v>
      </c>
      <c r="E323" s="3" t="str">
        <f>"黒川郡大和町吉岡まほろば２－２－９"</f>
        <v>黒川郡大和町吉岡まほろば２－２－９</v>
      </c>
      <c r="F323" s="2" t="str">
        <f>"022-725-4121  "</f>
        <v xml:space="preserve">022-725-4121  </v>
      </c>
      <c r="G323" s="3" t="s">
        <v>656</v>
      </c>
    </row>
    <row r="324" spans="1:7" x14ac:dyDescent="0.4">
      <c r="A324" s="2">
        <v>323</v>
      </c>
      <c r="B324" s="2" t="s">
        <v>4</v>
      </c>
      <c r="C324" s="2" t="s">
        <v>655</v>
      </c>
      <c r="D324" s="3" t="s">
        <v>654</v>
      </c>
      <c r="E324" s="3" t="s">
        <v>653</v>
      </c>
      <c r="F324" s="2" t="str">
        <f>"022-345-9901  "</f>
        <v xml:space="preserve">022-345-9901  </v>
      </c>
      <c r="G324" s="3" t="s">
        <v>652</v>
      </c>
    </row>
    <row r="325" spans="1:7" x14ac:dyDescent="0.4">
      <c r="A325" s="2">
        <v>324</v>
      </c>
      <c r="B325" s="2" t="s">
        <v>4</v>
      </c>
      <c r="C325" s="2" t="s">
        <v>651</v>
      </c>
      <c r="D325" s="3" t="s">
        <v>650</v>
      </c>
      <c r="E325" s="3" t="str">
        <f>"黒川郡大和町吉岡字上道下４０－１"</f>
        <v>黒川郡大和町吉岡字上道下４０－１</v>
      </c>
      <c r="F325" s="2" t="str">
        <f>"022-345-3693  "</f>
        <v xml:space="preserve">022-345-3693  </v>
      </c>
      <c r="G325" s="3" t="s">
        <v>79</v>
      </c>
    </row>
    <row r="326" spans="1:7" x14ac:dyDescent="0.4">
      <c r="A326" s="2">
        <v>325</v>
      </c>
      <c r="B326" s="2" t="s">
        <v>4</v>
      </c>
      <c r="C326" s="2" t="s">
        <v>649</v>
      </c>
      <c r="D326" s="3" t="s">
        <v>643</v>
      </c>
      <c r="E326" s="3" t="s">
        <v>646</v>
      </c>
      <c r="F326" s="2" t="str">
        <f>"022-345-3101  "</f>
        <v xml:space="preserve">022-345-3101  </v>
      </c>
      <c r="G326" s="3" t="s">
        <v>26</v>
      </c>
    </row>
    <row r="327" spans="1:7" x14ac:dyDescent="0.4">
      <c r="A327" s="2">
        <v>326</v>
      </c>
      <c r="B327" s="2" t="s">
        <v>4</v>
      </c>
      <c r="C327" s="2" t="s">
        <v>648</v>
      </c>
      <c r="D327" s="3" t="s">
        <v>643</v>
      </c>
      <c r="E327" s="3" t="s">
        <v>646</v>
      </c>
      <c r="F327" s="2" t="str">
        <f>"022-345-3101  "</f>
        <v xml:space="preserve">022-345-3101  </v>
      </c>
      <c r="G327" s="3" t="s">
        <v>115</v>
      </c>
    </row>
    <row r="328" spans="1:7" x14ac:dyDescent="0.4">
      <c r="A328" s="2">
        <v>327</v>
      </c>
      <c r="B328" s="2" t="s">
        <v>4</v>
      </c>
      <c r="C328" s="2" t="s">
        <v>647</v>
      </c>
      <c r="D328" s="3" t="s">
        <v>643</v>
      </c>
      <c r="E328" s="3" t="s">
        <v>646</v>
      </c>
      <c r="F328" s="2" t="str">
        <f>"022-345-3101  "</f>
        <v xml:space="preserve">022-345-3101  </v>
      </c>
      <c r="G328" s="3" t="s">
        <v>645</v>
      </c>
    </row>
    <row r="329" spans="1:7" x14ac:dyDescent="0.4">
      <c r="A329" s="2">
        <v>328</v>
      </c>
      <c r="B329" s="2" t="s">
        <v>4</v>
      </c>
      <c r="C329" s="2" t="s">
        <v>644</v>
      </c>
      <c r="D329" s="3" t="s">
        <v>643</v>
      </c>
      <c r="E329" s="3" t="s">
        <v>642</v>
      </c>
      <c r="F329" s="2" t="str">
        <f>"022-345-3101  "</f>
        <v xml:space="preserve">022-345-3101  </v>
      </c>
      <c r="G329" s="3" t="s">
        <v>97</v>
      </c>
    </row>
    <row r="330" spans="1:7" x14ac:dyDescent="0.4">
      <c r="A330" s="2">
        <v>329</v>
      </c>
      <c r="B330" s="2" t="s">
        <v>4</v>
      </c>
      <c r="C330" s="2" t="s">
        <v>641</v>
      </c>
      <c r="D330" s="3" t="s">
        <v>640</v>
      </c>
      <c r="E330" s="3" t="str">
        <f>"黒川郡大和町吉岡東２－８－１０"</f>
        <v>黒川郡大和町吉岡東２－８－１０</v>
      </c>
      <c r="F330" s="2" t="str">
        <f>"022-347-1682  "</f>
        <v xml:space="preserve">022-347-1682  </v>
      </c>
      <c r="G330" s="3" t="s">
        <v>5</v>
      </c>
    </row>
    <row r="331" spans="1:7" ht="37.5" x14ac:dyDescent="0.4">
      <c r="A331" s="2">
        <v>330</v>
      </c>
      <c r="B331" s="2" t="s">
        <v>4</v>
      </c>
      <c r="C331" s="2" t="s">
        <v>639</v>
      </c>
      <c r="D331" s="3" t="s">
        <v>638</v>
      </c>
      <c r="E331" s="3" t="s">
        <v>637</v>
      </c>
      <c r="F331" s="2" t="str">
        <f>"022-358-5101  "</f>
        <v xml:space="preserve">022-358-5101  </v>
      </c>
      <c r="G331" s="3" t="s">
        <v>160</v>
      </c>
    </row>
    <row r="332" spans="1:7" x14ac:dyDescent="0.4">
      <c r="A332" s="2">
        <v>331</v>
      </c>
      <c r="B332" s="2" t="s">
        <v>4</v>
      </c>
      <c r="C332" s="2" t="s">
        <v>636</v>
      </c>
      <c r="D332" s="3" t="s">
        <v>632</v>
      </c>
      <c r="E332" s="3" t="str">
        <f>"柴田郡柴田町船岡新栄３－４３－９"</f>
        <v>柴田郡柴田町船岡新栄３－４３－９</v>
      </c>
      <c r="F332" s="2" t="str">
        <f>"0224-86-5390  "</f>
        <v xml:space="preserve">0224-86-5390  </v>
      </c>
      <c r="G332" s="3" t="s">
        <v>115</v>
      </c>
    </row>
    <row r="333" spans="1:7" ht="37.5" x14ac:dyDescent="0.4">
      <c r="A333" s="2">
        <v>332</v>
      </c>
      <c r="B333" s="2" t="s">
        <v>4</v>
      </c>
      <c r="C333" s="2" t="s">
        <v>635</v>
      </c>
      <c r="D333" s="3" t="s">
        <v>632</v>
      </c>
      <c r="E333" s="3" t="str">
        <f>"柴田郡柴田町船岡新栄３－４３－９"</f>
        <v>柴田郡柴田町船岡新栄３－４３－９</v>
      </c>
      <c r="F333" s="2" t="str">
        <f>"0224-86-5390  "</f>
        <v xml:space="preserve">0224-86-5390  </v>
      </c>
      <c r="G333" s="3" t="s">
        <v>634</v>
      </c>
    </row>
    <row r="334" spans="1:7" x14ac:dyDescent="0.4">
      <c r="A334" s="2">
        <v>333</v>
      </c>
      <c r="B334" s="2" t="s">
        <v>4</v>
      </c>
      <c r="C334" s="2" t="s">
        <v>633</v>
      </c>
      <c r="D334" s="3" t="s">
        <v>632</v>
      </c>
      <c r="E334" s="3" t="str">
        <f>"柴田郡柴田町船岡新栄３丁目４３－９"</f>
        <v>柴田郡柴田町船岡新栄３丁目４３－９</v>
      </c>
      <c r="F334" s="2" t="str">
        <f>"0224-86-5396  "</f>
        <v xml:space="preserve">0224-86-5396  </v>
      </c>
      <c r="G334" s="3" t="s">
        <v>213</v>
      </c>
    </row>
    <row r="335" spans="1:7" ht="37.5" x14ac:dyDescent="0.4">
      <c r="A335" s="2">
        <v>334</v>
      </c>
      <c r="B335" s="2" t="s">
        <v>4</v>
      </c>
      <c r="C335" s="2" t="s">
        <v>631</v>
      </c>
      <c r="D335" s="3" t="s">
        <v>630</v>
      </c>
      <c r="E335" s="3" t="str">
        <f>"柴田郡柴田町船岡新栄4-4-1"</f>
        <v>柴田郡柴田町船岡新栄4-4-1</v>
      </c>
      <c r="F335" s="2" t="str">
        <f>"0224-57-2310  "</f>
        <v xml:space="preserve">0224-57-2310  </v>
      </c>
      <c r="G335" s="3" t="s">
        <v>26</v>
      </c>
    </row>
    <row r="336" spans="1:7" x14ac:dyDescent="0.4">
      <c r="A336" s="2">
        <v>335</v>
      </c>
      <c r="B336" s="2" t="s">
        <v>4</v>
      </c>
      <c r="C336" s="2" t="s">
        <v>629</v>
      </c>
      <c r="D336" s="3" t="s">
        <v>628</v>
      </c>
      <c r="E336" s="3" t="str">
        <f>"柴田郡柴田町船岡中央３－３－３４"</f>
        <v>柴田郡柴田町船岡中央３－３－３４</v>
      </c>
      <c r="F336" s="2" t="str">
        <f>"0224-55-1702  "</f>
        <v xml:space="preserve">0224-55-1702  </v>
      </c>
      <c r="G336" s="3" t="s">
        <v>26</v>
      </c>
    </row>
    <row r="337" spans="1:7" x14ac:dyDescent="0.4">
      <c r="A337" s="2">
        <v>336</v>
      </c>
      <c r="B337" s="2" t="s">
        <v>4</v>
      </c>
      <c r="C337" s="2" t="s">
        <v>627</v>
      </c>
      <c r="D337" s="3" t="s">
        <v>626</v>
      </c>
      <c r="E337" s="3" t="str">
        <f>"柴田郡柴田町船岡東２－８－３９"</f>
        <v>柴田郡柴田町船岡東２－８－３９</v>
      </c>
      <c r="F337" s="2" t="str">
        <f>"0224-54-1472  "</f>
        <v xml:space="preserve">0224-54-1472  </v>
      </c>
      <c r="G337" s="3" t="s">
        <v>5</v>
      </c>
    </row>
    <row r="338" spans="1:7" ht="37.5" x14ac:dyDescent="0.4">
      <c r="A338" s="2">
        <v>337</v>
      </c>
      <c r="B338" s="2" t="s">
        <v>4</v>
      </c>
      <c r="C338" s="2" t="s">
        <v>625</v>
      </c>
      <c r="D338" s="3" t="s">
        <v>624</v>
      </c>
      <c r="E338" s="3" t="str">
        <f>"柴田郡柴田町槻木上町２－７－２５"</f>
        <v>柴田郡柴田町槻木上町２－７－２５</v>
      </c>
      <c r="F338" s="2" t="str">
        <f>"0224-87-8750  "</f>
        <v xml:space="preserve">0224-87-8750  </v>
      </c>
      <c r="G338" s="3" t="s">
        <v>18</v>
      </c>
    </row>
    <row r="339" spans="1:7" ht="37.5" x14ac:dyDescent="0.4">
      <c r="A339" s="2">
        <v>338</v>
      </c>
      <c r="B339" s="2" t="s">
        <v>4</v>
      </c>
      <c r="C339" s="2" t="s">
        <v>623</v>
      </c>
      <c r="D339" s="3" t="s">
        <v>622</v>
      </c>
      <c r="E339" s="3" t="s">
        <v>621</v>
      </c>
      <c r="F339" s="2" t="str">
        <f>"0224-87-8750  "</f>
        <v xml:space="preserve">0224-87-8750  </v>
      </c>
      <c r="G339" s="3" t="s">
        <v>620</v>
      </c>
    </row>
    <row r="340" spans="1:7" x14ac:dyDescent="0.4">
      <c r="A340" s="2">
        <v>339</v>
      </c>
      <c r="B340" s="2" t="s">
        <v>4</v>
      </c>
      <c r="C340" s="2" t="s">
        <v>619</v>
      </c>
      <c r="D340" s="3" t="s">
        <v>618</v>
      </c>
      <c r="E340" s="3" t="str">
        <f>"柴田郡柴田町槻木上町３－１－１０"</f>
        <v>柴田郡柴田町槻木上町３－１－１０</v>
      </c>
      <c r="F340" s="2" t="str">
        <f>"0224-56-1441  "</f>
        <v xml:space="preserve">0224-56-1441  </v>
      </c>
      <c r="G340" s="3" t="s">
        <v>617</v>
      </c>
    </row>
    <row r="341" spans="1:7" ht="37.5" x14ac:dyDescent="0.4">
      <c r="A341" s="2">
        <v>340</v>
      </c>
      <c r="B341" s="2" t="s">
        <v>4</v>
      </c>
      <c r="C341" s="2" t="s">
        <v>616</v>
      </c>
      <c r="D341" s="3" t="s">
        <v>615</v>
      </c>
      <c r="E341" s="3" t="s">
        <v>614</v>
      </c>
      <c r="F341" s="2" t="str">
        <f>"0224-85-2333  "</f>
        <v xml:space="preserve">0224-85-2333  </v>
      </c>
      <c r="G341" s="3" t="s">
        <v>613</v>
      </c>
    </row>
    <row r="342" spans="1:7" x14ac:dyDescent="0.4">
      <c r="A342" s="2">
        <v>341</v>
      </c>
      <c r="B342" s="2" t="s">
        <v>4</v>
      </c>
      <c r="C342" s="2" t="s">
        <v>612</v>
      </c>
      <c r="D342" s="3" t="s">
        <v>611</v>
      </c>
      <c r="E342" s="3" t="s">
        <v>610</v>
      </c>
      <c r="F342" s="2" t="str">
        <f>"0224-84-2119  "</f>
        <v xml:space="preserve">0224-84-2119  </v>
      </c>
      <c r="G342" s="3" t="s">
        <v>26</v>
      </c>
    </row>
    <row r="343" spans="1:7" x14ac:dyDescent="0.4">
      <c r="A343" s="2">
        <v>342</v>
      </c>
      <c r="B343" s="2" t="s">
        <v>4</v>
      </c>
      <c r="C343" s="2" t="s">
        <v>609</v>
      </c>
      <c r="D343" s="3" t="s">
        <v>608</v>
      </c>
      <c r="E343" s="3" t="s">
        <v>607</v>
      </c>
      <c r="F343" s="2" t="str">
        <f>"0224-83-2172  "</f>
        <v xml:space="preserve">0224-83-2172  </v>
      </c>
      <c r="G343" s="3" t="s">
        <v>97</v>
      </c>
    </row>
    <row r="344" spans="1:7" x14ac:dyDescent="0.4">
      <c r="A344" s="2">
        <v>343</v>
      </c>
      <c r="B344" s="2" t="s">
        <v>4</v>
      </c>
      <c r="C344" s="2" t="s">
        <v>606</v>
      </c>
      <c r="D344" s="3" t="s">
        <v>605</v>
      </c>
      <c r="E344" s="3" t="str">
        <f>"柴田郡村田町大字沼辺字新小谷地２７－２"</f>
        <v>柴田郡村田町大字沼辺字新小谷地２７－２</v>
      </c>
      <c r="F344" s="2" t="str">
        <f>"0224-86-5755  "</f>
        <v xml:space="preserve">0224-86-5755  </v>
      </c>
      <c r="G344" s="3" t="s">
        <v>36</v>
      </c>
    </row>
    <row r="345" spans="1:7" x14ac:dyDescent="0.4">
      <c r="A345" s="2">
        <v>344</v>
      </c>
      <c r="B345" s="2" t="s">
        <v>4</v>
      </c>
      <c r="C345" s="2" t="s">
        <v>604</v>
      </c>
      <c r="D345" s="3" t="s">
        <v>573</v>
      </c>
      <c r="E345" s="3" t="str">
        <f t="shared" ref="E345:E351" si="11">"柴田郡大河原町字西３８－１"</f>
        <v>柴田郡大河原町字西３８－１</v>
      </c>
      <c r="F345" s="2" t="str">
        <f t="shared" ref="F345:F365" si="12">"0224-51-5500  "</f>
        <v xml:space="preserve">0224-51-5500  </v>
      </c>
      <c r="G345" s="3" t="s">
        <v>28</v>
      </c>
    </row>
    <row r="346" spans="1:7" x14ac:dyDescent="0.4">
      <c r="A346" s="2">
        <v>345</v>
      </c>
      <c r="B346" s="2" t="s">
        <v>4</v>
      </c>
      <c r="C346" s="2" t="s">
        <v>603</v>
      </c>
      <c r="D346" s="3" t="s">
        <v>573</v>
      </c>
      <c r="E346" s="3" t="str">
        <f t="shared" si="11"/>
        <v>柴田郡大河原町字西３８－１</v>
      </c>
      <c r="F346" s="2" t="str">
        <f t="shared" si="12"/>
        <v xml:space="preserve">0224-51-5500  </v>
      </c>
      <c r="G346" s="3" t="s">
        <v>227</v>
      </c>
    </row>
    <row r="347" spans="1:7" x14ac:dyDescent="0.4">
      <c r="A347" s="2">
        <v>346</v>
      </c>
      <c r="B347" s="2" t="s">
        <v>4</v>
      </c>
      <c r="C347" s="2" t="s">
        <v>602</v>
      </c>
      <c r="D347" s="3" t="s">
        <v>573</v>
      </c>
      <c r="E347" s="3" t="str">
        <f t="shared" si="11"/>
        <v>柴田郡大河原町字西３８－１</v>
      </c>
      <c r="F347" s="2" t="str">
        <f t="shared" si="12"/>
        <v xml:space="preserve">0224-51-5500  </v>
      </c>
      <c r="G347" s="3" t="s">
        <v>601</v>
      </c>
    </row>
    <row r="348" spans="1:7" x14ac:dyDescent="0.4">
      <c r="A348" s="2">
        <v>347</v>
      </c>
      <c r="B348" s="2" t="s">
        <v>4</v>
      </c>
      <c r="C348" s="2" t="s">
        <v>600</v>
      </c>
      <c r="D348" s="3" t="s">
        <v>573</v>
      </c>
      <c r="E348" s="3" t="str">
        <f t="shared" si="11"/>
        <v>柴田郡大河原町字西３８－１</v>
      </c>
      <c r="F348" s="2" t="str">
        <f t="shared" si="12"/>
        <v xml:space="preserve">0224-51-5500  </v>
      </c>
      <c r="G348" s="3" t="s">
        <v>180</v>
      </c>
    </row>
    <row r="349" spans="1:7" x14ac:dyDescent="0.4">
      <c r="A349" s="2">
        <v>348</v>
      </c>
      <c r="B349" s="2" t="s">
        <v>4</v>
      </c>
      <c r="C349" s="2" t="s">
        <v>599</v>
      </c>
      <c r="D349" s="3" t="s">
        <v>573</v>
      </c>
      <c r="E349" s="3" t="str">
        <f t="shared" si="11"/>
        <v>柴田郡大河原町字西３８－１</v>
      </c>
      <c r="F349" s="2" t="str">
        <f t="shared" si="12"/>
        <v xml:space="preserve">0224-51-5500  </v>
      </c>
      <c r="G349" s="3" t="s">
        <v>180</v>
      </c>
    </row>
    <row r="350" spans="1:7" x14ac:dyDescent="0.4">
      <c r="A350" s="2">
        <v>349</v>
      </c>
      <c r="B350" s="2" t="s">
        <v>4</v>
      </c>
      <c r="C350" s="2" t="s">
        <v>598</v>
      </c>
      <c r="D350" s="3" t="s">
        <v>573</v>
      </c>
      <c r="E350" s="3" t="str">
        <f t="shared" si="11"/>
        <v>柴田郡大河原町字西３８－１</v>
      </c>
      <c r="F350" s="2" t="str">
        <f t="shared" si="12"/>
        <v xml:space="preserve">0224-51-5500  </v>
      </c>
      <c r="G350" s="3" t="s">
        <v>115</v>
      </c>
    </row>
    <row r="351" spans="1:7" x14ac:dyDescent="0.4">
      <c r="A351" s="2">
        <v>350</v>
      </c>
      <c r="B351" s="2" t="s">
        <v>4</v>
      </c>
      <c r="C351" s="2" t="s">
        <v>597</v>
      </c>
      <c r="D351" s="3" t="s">
        <v>573</v>
      </c>
      <c r="E351" s="3" t="str">
        <f t="shared" si="11"/>
        <v>柴田郡大河原町字西３８－１</v>
      </c>
      <c r="F351" s="2" t="str">
        <f t="shared" si="12"/>
        <v xml:space="preserve">0224-51-5500  </v>
      </c>
      <c r="G351" s="3" t="s">
        <v>323</v>
      </c>
    </row>
    <row r="352" spans="1:7" x14ac:dyDescent="0.4">
      <c r="A352" s="2">
        <v>351</v>
      </c>
      <c r="B352" s="2" t="s">
        <v>4</v>
      </c>
      <c r="C352" s="2" t="s">
        <v>596</v>
      </c>
      <c r="D352" s="3" t="s">
        <v>573</v>
      </c>
      <c r="E352" s="3" t="str">
        <f>"柴田郡大河原町字西38－1"</f>
        <v>柴田郡大河原町字西38－1</v>
      </c>
      <c r="F352" s="2" t="str">
        <f t="shared" si="12"/>
        <v xml:space="preserve">0224-51-5500  </v>
      </c>
      <c r="G352" s="3" t="s">
        <v>22</v>
      </c>
    </row>
    <row r="353" spans="1:7" x14ac:dyDescent="0.4">
      <c r="A353" s="2">
        <v>352</v>
      </c>
      <c r="B353" s="2" t="s">
        <v>4</v>
      </c>
      <c r="C353" s="2" t="s">
        <v>595</v>
      </c>
      <c r="D353" s="3" t="s">
        <v>573</v>
      </c>
      <c r="E353" s="3" t="str">
        <f>"柴田郡大河原町字西３８－１"</f>
        <v>柴田郡大河原町字西３８－１</v>
      </c>
      <c r="F353" s="2" t="str">
        <f t="shared" si="12"/>
        <v xml:space="preserve">0224-51-5500  </v>
      </c>
      <c r="G353" s="3" t="s">
        <v>72</v>
      </c>
    </row>
    <row r="354" spans="1:7" x14ac:dyDescent="0.4">
      <c r="A354" s="2">
        <v>353</v>
      </c>
      <c r="B354" s="2" t="s">
        <v>4</v>
      </c>
      <c r="C354" s="2" t="s">
        <v>594</v>
      </c>
      <c r="D354" s="3" t="s">
        <v>573</v>
      </c>
      <c r="E354" s="3" t="str">
        <f>"柴田郡大河原町字西38－1"</f>
        <v>柴田郡大河原町字西38－1</v>
      </c>
      <c r="F354" s="2" t="str">
        <f t="shared" si="12"/>
        <v xml:space="preserve">0224-51-5500  </v>
      </c>
      <c r="G354" s="3" t="s">
        <v>82</v>
      </c>
    </row>
    <row r="355" spans="1:7" x14ac:dyDescent="0.4">
      <c r="A355" s="2">
        <v>354</v>
      </c>
      <c r="B355" s="2" t="s">
        <v>4</v>
      </c>
      <c r="C355" s="2" t="s">
        <v>593</v>
      </c>
      <c r="D355" s="3" t="s">
        <v>573</v>
      </c>
      <c r="E355" s="3" t="str">
        <f t="shared" ref="E355:E363" si="13">"柴田郡大河原町字西３８－１"</f>
        <v>柴田郡大河原町字西３８－１</v>
      </c>
      <c r="F355" s="2" t="str">
        <f t="shared" si="12"/>
        <v xml:space="preserve">0224-51-5500  </v>
      </c>
      <c r="G355" s="3" t="s">
        <v>592</v>
      </c>
    </row>
    <row r="356" spans="1:7" x14ac:dyDescent="0.4">
      <c r="A356" s="2">
        <v>355</v>
      </c>
      <c r="B356" s="2" t="s">
        <v>4</v>
      </c>
      <c r="C356" s="2" t="s">
        <v>591</v>
      </c>
      <c r="D356" s="3" t="s">
        <v>573</v>
      </c>
      <c r="E356" s="3" t="str">
        <f t="shared" si="13"/>
        <v>柴田郡大河原町字西３８－１</v>
      </c>
      <c r="F356" s="2" t="str">
        <f t="shared" si="12"/>
        <v xml:space="preserve">0224-51-5500  </v>
      </c>
      <c r="G356" s="3" t="s">
        <v>82</v>
      </c>
    </row>
    <row r="357" spans="1:7" x14ac:dyDescent="0.4">
      <c r="A357" s="2">
        <v>356</v>
      </c>
      <c r="B357" s="2" t="s">
        <v>4</v>
      </c>
      <c r="C357" s="2" t="s">
        <v>590</v>
      </c>
      <c r="D357" s="3" t="s">
        <v>573</v>
      </c>
      <c r="E357" s="3" t="str">
        <f t="shared" si="13"/>
        <v>柴田郡大河原町字西３８－１</v>
      </c>
      <c r="F357" s="2" t="str">
        <f t="shared" si="12"/>
        <v xml:space="preserve">0224-51-5500  </v>
      </c>
      <c r="G357" s="3" t="s">
        <v>88</v>
      </c>
    </row>
    <row r="358" spans="1:7" x14ac:dyDescent="0.4">
      <c r="A358" s="2">
        <v>357</v>
      </c>
      <c r="B358" s="2" t="s">
        <v>4</v>
      </c>
      <c r="C358" s="2" t="s">
        <v>589</v>
      </c>
      <c r="D358" s="3" t="s">
        <v>573</v>
      </c>
      <c r="E358" s="3" t="str">
        <f t="shared" si="13"/>
        <v>柴田郡大河原町字西３８－１</v>
      </c>
      <c r="F358" s="2" t="str">
        <f t="shared" si="12"/>
        <v xml:space="preserve">0224-51-5500  </v>
      </c>
      <c r="G358" s="3" t="s">
        <v>82</v>
      </c>
    </row>
    <row r="359" spans="1:7" x14ac:dyDescent="0.4">
      <c r="A359" s="2">
        <v>358</v>
      </c>
      <c r="B359" s="2" t="s">
        <v>4</v>
      </c>
      <c r="C359" s="2" t="s">
        <v>588</v>
      </c>
      <c r="D359" s="3" t="s">
        <v>573</v>
      </c>
      <c r="E359" s="3" t="str">
        <f t="shared" si="13"/>
        <v>柴田郡大河原町字西３８－１</v>
      </c>
      <c r="F359" s="2" t="str">
        <f t="shared" si="12"/>
        <v xml:space="preserve">0224-51-5500  </v>
      </c>
      <c r="G359" s="3" t="s">
        <v>53</v>
      </c>
    </row>
    <row r="360" spans="1:7" x14ac:dyDescent="0.4">
      <c r="A360" s="2">
        <v>359</v>
      </c>
      <c r="B360" s="2" t="s">
        <v>4</v>
      </c>
      <c r="C360" s="2" t="s">
        <v>587</v>
      </c>
      <c r="D360" s="3" t="s">
        <v>573</v>
      </c>
      <c r="E360" s="3" t="str">
        <f t="shared" si="13"/>
        <v>柴田郡大河原町字西３８－１</v>
      </c>
      <c r="F360" s="2" t="str">
        <f t="shared" si="12"/>
        <v xml:space="preserve">0224-51-5500  </v>
      </c>
      <c r="G360" s="3" t="s">
        <v>97</v>
      </c>
    </row>
    <row r="361" spans="1:7" x14ac:dyDescent="0.4">
      <c r="A361" s="2">
        <v>360</v>
      </c>
      <c r="B361" s="2" t="s">
        <v>4</v>
      </c>
      <c r="C361" s="2" t="s">
        <v>586</v>
      </c>
      <c r="D361" s="3" t="s">
        <v>573</v>
      </c>
      <c r="E361" s="3" t="str">
        <f t="shared" si="13"/>
        <v>柴田郡大河原町字西３８－１</v>
      </c>
      <c r="F361" s="2" t="str">
        <f t="shared" si="12"/>
        <v xml:space="preserve">0224-51-5500  </v>
      </c>
      <c r="G361" s="3" t="s">
        <v>180</v>
      </c>
    </row>
    <row r="362" spans="1:7" x14ac:dyDescent="0.4">
      <c r="A362" s="2">
        <v>361</v>
      </c>
      <c r="B362" s="2" t="s">
        <v>4</v>
      </c>
      <c r="C362" s="2" t="s">
        <v>585</v>
      </c>
      <c r="D362" s="3" t="s">
        <v>573</v>
      </c>
      <c r="E362" s="3" t="str">
        <f t="shared" si="13"/>
        <v>柴田郡大河原町字西３８－１</v>
      </c>
      <c r="F362" s="2" t="str">
        <f t="shared" si="12"/>
        <v xml:space="preserve">0224-51-5500  </v>
      </c>
      <c r="G362" s="3" t="s">
        <v>53</v>
      </c>
    </row>
    <row r="363" spans="1:7" x14ac:dyDescent="0.4">
      <c r="A363" s="2">
        <v>362</v>
      </c>
      <c r="B363" s="2" t="s">
        <v>4</v>
      </c>
      <c r="C363" s="2" t="s">
        <v>584</v>
      </c>
      <c r="D363" s="3" t="s">
        <v>573</v>
      </c>
      <c r="E363" s="3" t="str">
        <f t="shared" si="13"/>
        <v>柴田郡大河原町字西３８－１</v>
      </c>
      <c r="F363" s="2" t="str">
        <f t="shared" si="12"/>
        <v xml:space="preserve">0224-51-5500  </v>
      </c>
      <c r="G363" s="3" t="s">
        <v>5</v>
      </c>
    </row>
    <row r="364" spans="1:7" x14ac:dyDescent="0.4">
      <c r="A364" s="2">
        <v>363</v>
      </c>
      <c r="B364" s="2" t="s">
        <v>4</v>
      </c>
      <c r="C364" s="2" t="s">
        <v>583</v>
      </c>
      <c r="D364" s="3" t="s">
        <v>573</v>
      </c>
      <c r="E364" s="3" t="s">
        <v>581</v>
      </c>
      <c r="F364" s="2" t="str">
        <f t="shared" si="12"/>
        <v xml:space="preserve">0224-51-5500  </v>
      </c>
      <c r="G364" s="3" t="s">
        <v>53</v>
      </c>
    </row>
    <row r="365" spans="1:7" x14ac:dyDescent="0.4">
      <c r="A365" s="2">
        <v>364</v>
      </c>
      <c r="B365" s="2" t="s">
        <v>4</v>
      </c>
      <c r="C365" s="2" t="s">
        <v>582</v>
      </c>
      <c r="D365" s="3" t="s">
        <v>573</v>
      </c>
      <c r="E365" s="3" t="s">
        <v>581</v>
      </c>
      <c r="F365" s="2" t="str">
        <f t="shared" si="12"/>
        <v xml:space="preserve">0224-51-5500  </v>
      </c>
      <c r="G365" s="3" t="s">
        <v>53</v>
      </c>
    </row>
    <row r="366" spans="1:7" ht="37.5" x14ac:dyDescent="0.4">
      <c r="A366" s="2">
        <v>365</v>
      </c>
      <c r="B366" s="2" t="s">
        <v>4</v>
      </c>
      <c r="C366" s="2" t="s">
        <v>580</v>
      </c>
      <c r="D366" s="3" t="s">
        <v>579</v>
      </c>
      <c r="E366" s="3" t="str">
        <f>"柴田郡大河原町新東22-4"</f>
        <v>柴田郡大河原町新東22-4</v>
      </c>
      <c r="F366" s="2" t="str">
        <f>"0224-87-8701  "</f>
        <v xml:space="preserve">0224-87-8701  </v>
      </c>
      <c r="G366" s="3" t="s">
        <v>578</v>
      </c>
    </row>
    <row r="367" spans="1:7" x14ac:dyDescent="0.4">
      <c r="A367" s="2">
        <v>366</v>
      </c>
      <c r="B367" s="2" t="s">
        <v>4</v>
      </c>
      <c r="C367" s="2" t="s">
        <v>577</v>
      </c>
      <c r="D367" s="3" t="s">
        <v>576</v>
      </c>
      <c r="E367" s="3" t="str">
        <f>"柴田郡大河原町新東２９－５"</f>
        <v>柴田郡大河原町新東２９－５</v>
      </c>
      <c r="F367" s="2" t="str">
        <f>"0224-52-5511  "</f>
        <v xml:space="preserve">0224-52-5511  </v>
      </c>
      <c r="G367" s="3" t="s">
        <v>5</v>
      </c>
    </row>
    <row r="368" spans="1:7" x14ac:dyDescent="0.4">
      <c r="A368" s="2">
        <v>367</v>
      </c>
      <c r="B368" s="2" t="s">
        <v>4</v>
      </c>
      <c r="C368" s="2" t="s">
        <v>575</v>
      </c>
      <c r="D368" s="3" t="s">
        <v>573</v>
      </c>
      <c r="E368" s="3" t="str">
        <f>"柴田郡大河原町西３８－１"</f>
        <v>柴田郡大河原町西３８－１</v>
      </c>
      <c r="F368" s="2" t="str">
        <f>"0224-51-5500  "</f>
        <v xml:space="preserve">0224-51-5500  </v>
      </c>
      <c r="G368" s="3" t="s">
        <v>75</v>
      </c>
    </row>
    <row r="369" spans="1:7" x14ac:dyDescent="0.4">
      <c r="A369" s="2">
        <v>368</v>
      </c>
      <c r="B369" s="2" t="s">
        <v>4</v>
      </c>
      <c r="C369" s="2" t="s">
        <v>574</v>
      </c>
      <c r="D369" s="3" t="s">
        <v>573</v>
      </c>
      <c r="E369" s="3" t="str">
        <f>"柴田郡大河原町西38-1"</f>
        <v>柴田郡大河原町西38-1</v>
      </c>
      <c r="F369" s="2" t="str">
        <f>"0224-51-5500  "</f>
        <v xml:space="preserve">0224-51-5500  </v>
      </c>
      <c r="G369" s="3" t="s">
        <v>115</v>
      </c>
    </row>
    <row r="370" spans="1:7" x14ac:dyDescent="0.4">
      <c r="A370" s="2">
        <v>369</v>
      </c>
      <c r="B370" s="2" t="s">
        <v>4</v>
      </c>
      <c r="C370" s="2" t="s">
        <v>572</v>
      </c>
      <c r="D370" s="3" t="s">
        <v>571</v>
      </c>
      <c r="E370" s="3" t="str">
        <f>"柴田郡大河原町大谷字戸ノ内前３５－１"</f>
        <v>柴田郡大河原町大谷字戸ノ内前３５－１</v>
      </c>
      <c r="F370" s="2" t="str">
        <f>"0224-51-3741  "</f>
        <v xml:space="preserve">0224-51-3741  </v>
      </c>
      <c r="G370" s="3" t="s">
        <v>570</v>
      </c>
    </row>
    <row r="371" spans="1:7" x14ac:dyDescent="0.4">
      <c r="A371" s="2">
        <v>370</v>
      </c>
      <c r="B371" s="2" t="s">
        <v>4</v>
      </c>
      <c r="C371" s="2" t="s">
        <v>569</v>
      </c>
      <c r="D371" s="3" t="s">
        <v>568</v>
      </c>
      <c r="E371" s="3" t="str">
        <f>"柴田郡大河原町東新町１０－７"</f>
        <v>柴田郡大河原町東新町１０－７</v>
      </c>
      <c r="F371" s="2" t="str">
        <f>"0224-52-3115  "</f>
        <v xml:space="preserve">0224-52-3115  </v>
      </c>
      <c r="G371" s="3" t="s">
        <v>365</v>
      </c>
    </row>
    <row r="372" spans="1:7" x14ac:dyDescent="0.4">
      <c r="A372" s="2">
        <v>371</v>
      </c>
      <c r="B372" s="2" t="s">
        <v>4</v>
      </c>
      <c r="C372" s="2" t="s">
        <v>567</v>
      </c>
      <c r="D372" s="3" t="s">
        <v>564</v>
      </c>
      <c r="E372" s="3" t="str">
        <f>"石巻市茜平１－４－１"</f>
        <v>石巻市茜平１－４－１</v>
      </c>
      <c r="F372" s="2" t="str">
        <f>"0225-93-3737  "</f>
        <v xml:space="preserve">0225-93-3737  </v>
      </c>
      <c r="G372" s="3" t="s">
        <v>9</v>
      </c>
    </row>
    <row r="373" spans="1:7" x14ac:dyDescent="0.4">
      <c r="A373" s="2">
        <v>372</v>
      </c>
      <c r="B373" s="2" t="s">
        <v>4</v>
      </c>
      <c r="C373" s="2" t="s">
        <v>566</v>
      </c>
      <c r="D373" s="3" t="s">
        <v>564</v>
      </c>
      <c r="E373" s="3" t="str">
        <f>"石巻市茜平１－４－１"</f>
        <v>石巻市茜平１－４－１</v>
      </c>
      <c r="F373" s="2" t="str">
        <f>"0225-93-3737  "</f>
        <v xml:space="preserve">0225-93-3737  </v>
      </c>
      <c r="G373" s="3" t="s">
        <v>9</v>
      </c>
    </row>
    <row r="374" spans="1:7" x14ac:dyDescent="0.4">
      <c r="A374" s="2">
        <v>373</v>
      </c>
      <c r="B374" s="2" t="s">
        <v>4</v>
      </c>
      <c r="C374" s="2" t="s">
        <v>565</v>
      </c>
      <c r="D374" s="3" t="s">
        <v>564</v>
      </c>
      <c r="E374" s="3" t="str">
        <f>"石巻市茜平１－４－１"</f>
        <v>石巻市茜平１－４－１</v>
      </c>
      <c r="F374" s="2" t="str">
        <f>"0225-93-3737  "</f>
        <v xml:space="preserve">0225-93-3737  </v>
      </c>
      <c r="G374" s="3" t="s">
        <v>9</v>
      </c>
    </row>
    <row r="375" spans="1:7" x14ac:dyDescent="0.4">
      <c r="A375" s="2">
        <v>374</v>
      </c>
      <c r="B375" s="2" t="s">
        <v>4</v>
      </c>
      <c r="C375" s="2" t="s">
        <v>563</v>
      </c>
      <c r="D375" s="3" t="s">
        <v>562</v>
      </c>
      <c r="E375" s="3" t="str">
        <f>"石巻市錦町６－４５"</f>
        <v>石巻市錦町６－４５</v>
      </c>
      <c r="F375" s="2" t="str">
        <f>"0225-22-8822  "</f>
        <v xml:space="preserve">0225-22-8822  </v>
      </c>
      <c r="G375" s="3" t="s">
        <v>227</v>
      </c>
    </row>
    <row r="376" spans="1:7" x14ac:dyDescent="0.4">
      <c r="A376" s="2">
        <v>375</v>
      </c>
      <c r="B376" s="2" t="s">
        <v>4</v>
      </c>
      <c r="C376" s="2" t="s">
        <v>561</v>
      </c>
      <c r="D376" s="3" t="s">
        <v>560</v>
      </c>
      <c r="E376" s="3" t="str">
        <f>"石巻市恵み野５－１０－４１"</f>
        <v>石巻市恵み野５－１０－４１</v>
      </c>
      <c r="F376" s="2" t="str">
        <f>"0225-92-0211  "</f>
        <v xml:space="preserve">0225-92-0211  </v>
      </c>
      <c r="G376" s="3" t="s">
        <v>5</v>
      </c>
    </row>
    <row r="377" spans="1:7" ht="37.5" x14ac:dyDescent="0.4">
      <c r="A377" s="2">
        <v>376</v>
      </c>
      <c r="B377" s="2" t="s">
        <v>4</v>
      </c>
      <c r="C377" s="2" t="s">
        <v>559</v>
      </c>
      <c r="D377" s="3" t="s">
        <v>558</v>
      </c>
      <c r="E377" s="3" t="str">
        <f>"石巻市向陽町２－１－１９"</f>
        <v>石巻市向陽町２－１－１９</v>
      </c>
      <c r="F377" s="2" t="str">
        <f>"0225-96-5252  "</f>
        <v xml:space="preserve">0225-96-5252  </v>
      </c>
      <c r="G377" s="3" t="s">
        <v>79</v>
      </c>
    </row>
    <row r="378" spans="1:7" ht="37.5" x14ac:dyDescent="0.4">
      <c r="A378" s="2">
        <v>377</v>
      </c>
      <c r="B378" s="2" t="s">
        <v>4</v>
      </c>
      <c r="C378" s="2" t="s">
        <v>557</v>
      </c>
      <c r="D378" s="3" t="s">
        <v>554</v>
      </c>
      <c r="E378" s="3" t="s">
        <v>553</v>
      </c>
      <c r="F378" s="2" t="str">
        <f>"0225-73-5888  "</f>
        <v xml:space="preserve">0225-73-5888  </v>
      </c>
      <c r="G378" s="3" t="s">
        <v>0</v>
      </c>
    </row>
    <row r="379" spans="1:7" ht="37.5" x14ac:dyDescent="0.4">
      <c r="A379" s="2">
        <v>378</v>
      </c>
      <c r="B379" s="2" t="s">
        <v>4</v>
      </c>
      <c r="C379" s="2" t="s">
        <v>556</v>
      </c>
      <c r="D379" s="3" t="s">
        <v>554</v>
      </c>
      <c r="E379" s="3" t="s">
        <v>553</v>
      </c>
      <c r="F379" s="2" t="str">
        <f>"0225-73-5888  "</f>
        <v xml:space="preserve">0225-73-5888  </v>
      </c>
      <c r="G379" s="3" t="s">
        <v>32</v>
      </c>
    </row>
    <row r="380" spans="1:7" ht="37.5" x14ac:dyDescent="0.4">
      <c r="A380" s="2">
        <v>379</v>
      </c>
      <c r="B380" s="2" t="s">
        <v>4</v>
      </c>
      <c r="C380" s="2" t="s">
        <v>555</v>
      </c>
      <c r="D380" s="3" t="s">
        <v>554</v>
      </c>
      <c r="E380" s="3" t="s">
        <v>553</v>
      </c>
      <c r="F380" s="2" t="str">
        <f>"0225-73-5888  "</f>
        <v xml:space="preserve">0225-73-5888  </v>
      </c>
      <c r="G380" s="3" t="s">
        <v>18</v>
      </c>
    </row>
    <row r="381" spans="1:7" ht="37.5" x14ac:dyDescent="0.4">
      <c r="A381" s="2">
        <v>380</v>
      </c>
      <c r="B381" s="2" t="s">
        <v>4</v>
      </c>
      <c r="C381" s="2" t="s">
        <v>552</v>
      </c>
      <c r="D381" s="3" t="s">
        <v>551</v>
      </c>
      <c r="E381" s="3" t="s">
        <v>550</v>
      </c>
      <c r="F381" s="2" t="str">
        <f>"0225-73-5888  "</f>
        <v xml:space="preserve">0225-73-5888  </v>
      </c>
      <c r="G381" s="3" t="s">
        <v>549</v>
      </c>
    </row>
    <row r="382" spans="1:7" x14ac:dyDescent="0.4">
      <c r="A382" s="2">
        <v>381</v>
      </c>
      <c r="B382" s="2" t="s">
        <v>4</v>
      </c>
      <c r="C382" s="2" t="s">
        <v>548</v>
      </c>
      <c r="D382" s="3" t="s">
        <v>547</v>
      </c>
      <c r="E382" s="3" t="s">
        <v>546</v>
      </c>
      <c r="F382" s="2" t="str">
        <f>"0225-73-2420  "</f>
        <v xml:space="preserve">0225-73-2420  </v>
      </c>
      <c r="G382" s="3" t="s">
        <v>46</v>
      </c>
    </row>
    <row r="383" spans="1:7" x14ac:dyDescent="0.4">
      <c r="A383" s="2">
        <v>382</v>
      </c>
      <c r="B383" s="2" t="s">
        <v>4</v>
      </c>
      <c r="C383" s="2" t="s">
        <v>545</v>
      </c>
      <c r="D383" s="3" t="s">
        <v>539</v>
      </c>
      <c r="E383" s="3" t="s">
        <v>538</v>
      </c>
      <c r="F383" s="2" t="str">
        <f t="shared" ref="F383:F388" si="14">"0225-25-5555  "</f>
        <v xml:space="preserve">0225-25-5555  </v>
      </c>
      <c r="G383" s="3" t="s">
        <v>115</v>
      </c>
    </row>
    <row r="384" spans="1:7" x14ac:dyDescent="0.4">
      <c r="A384" s="2">
        <v>383</v>
      </c>
      <c r="B384" s="2" t="s">
        <v>4</v>
      </c>
      <c r="C384" s="2" t="s">
        <v>544</v>
      </c>
      <c r="D384" s="3" t="s">
        <v>539</v>
      </c>
      <c r="E384" s="3" t="s">
        <v>538</v>
      </c>
      <c r="F384" s="2" t="str">
        <f t="shared" si="14"/>
        <v xml:space="preserve">0225-25-5555  </v>
      </c>
      <c r="G384" s="3" t="s">
        <v>79</v>
      </c>
    </row>
    <row r="385" spans="1:7" x14ac:dyDescent="0.4">
      <c r="A385" s="2">
        <v>384</v>
      </c>
      <c r="B385" s="2" t="s">
        <v>4</v>
      </c>
      <c r="C385" s="2" t="s">
        <v>543</v>
      </c>
      <c r="D385" s="3" t="s">
        <v>539</v>
      </c>
      <c r="E385" s="3" t="s">
        <v>538</v>
      </c>
      <c r="F385" s="2" t="str">
        <f t="shared" si="14"/>
        <v xml:space="preserve">0225-25-5555  </v>
      </c>
      <c r="G385" s="3" t="s">
        <v>97</v>
      </c>
    </row>
    <row r="386" spans="1:7" x14ac:dyDescent="0.4">
      <c r="A386" s="2">
        <v>385</v>
      </c>
      <c r="B386" s="2" t="s">
        <v>4</v>
      </c>
      <c r="C386" s="2" t="s">
        <v>542</v>
      </c>
      <c r="D386" s="3" t="s">
        <v>539</v>
      </c>
      <c r="E386" s="3" t="s">
        <v>538</v>
      </c>
      <c r="F386" s="2" t="str">
        <f t="shared" si="14"/>
        <v xml:space="preserve">0225-25-5555  </v>
      </c>
      <c r="G386" s="3" t="s">
        <v>97</v>
      </c>
    </row>
    <row r="387" spans="1:7" x14ac:dyDescent="0.4">
      <c r="A387" s="2">
        <v>386</v>
      </c>
      <c r="B387" s="2" t="s">
        <v>4</v>
      </c>
      <c r="C387" s="2" t="s">
        <v>541</v>
      </c>
      <c r="D387" s="3" t="s">
        <v>539</v>
      </c>
      <c r="E387" s="3" t="s">
        <v>538</v>
      </c>
      <c r="F387" s="2" t="str">
        <f t="shared" si="14"/>
        <v xml:space="preserve">0225-25-5555  </v>
      </c>
      <c r="G387" s="3" t="s">
        <v>26</v>
      </c>
    </row>
    <row r="388" spans="1:7" x14ac:dyDescent="0.4">
      <c r="A388" s="2">
        <v>387</v>
      </c>
      <c r="B388" s="2" t="s">
        <v>4</v>
      </c>
      <c r="C388" s="2" t="s">
        <v>540</v>
      </c>
      <c r="D388" s="3" t="s">
        <v>539</v>
      </c>
      <c r="E388" s="3" t="s">
        <v>538</v>
      </c>
      <c r="F388" s="2" t="str">
        <f t="shared" si="14"/>
        <v xml:space="preserve">0225-25-5555  </v>
      </c>
      <c r="G388" s="3" t="s">
        <v>26</v>
      </c>
    </row>
    <row r="389" spans="1:7" x14ac:dyDescent="0.4">
      <c r="A389" s="2">
        <v>388</v>
      </c>
      <c r="B389" s="2" t="s">
        <v>4</v>
      </c>
      <c r="C389" s="2" t="s">
        <v>537</v>
      </c>
      <c r="D389" s="3" t="s">
        <v>531</v>
      </c>
      <c r="E389" s="3" t="str">
        <f>"石巻市山下町１－７－２４"</f>
        <v>石巻市山下町１－７－２４</v>
      </c>
      <c r="F389" s="2" t="str">
        <f>"0225-96-3251  "</f>
        <v xml:space="preserve">0225-96-3251  </v>
      </c>
      <c r="G389" s="3" t="s">
        <v>533</v>
      </c>
    </row>
    <row r="390" spans="1:7" x14ac:dyDescent="0.4">
      <c r="A390" s="2">
        <v>389</v>
      </c>
      <c r="B390" s="2" t="s">
        <v>4</v>
      </c>
      <c r="C390" s="2" t="s">
        <v>536</v>
      </c>
      <c r="D390" s="3" t="s">
        <v>531</v>
      </c>
      <c r="E390" s="3" t="str">
        <f>"石巻市山下町１－７－２４"</f>
        <v>石巻市山下町１－７－２４</v>
      </c>
      <c r="F390" s="2" t="str">
        <f>"0225-96-3251  "</f>
        <v xml:space="preserve">0225-96-3251  </v>
      </c>
      <c r="G390" s="3" t="s">
        <v>53</v>
      </c>
    </row>
    <row r="391" spans="1:7" x14ac:dyDescent="0.4">
      <c r="A391" s="2">
        <v>390</v>
      </c>
      <c r="B391" s="2" t="s">
        <v>4</v>
      </c>
      <c r="C391" s="2" t="s">
        <v>535</v>
      </c>
      <c r="D391" s="3" t="s">
        <v>531</v>
      </c>
      <c r="E391" s="3" t="str">
        <f>"石巻市山下町１－７－２４"</f>
        <v>石巻市山下町１－７－２４</v>
      </c>
      <c r="F391" s="2" t="str">
        <f>"0225-96-3251  "</f>
        <v xml:space="preserve">0225-96-3251  </v>
      </c>
      <c r="G391" s="3" t="s">
        <v>79</v>
      </c>
    </row>
    <row r="392" spans="1:7" x14ac:dyDescent="0.4">
      <c r="A392" s="2">
        <v>391</v>
      </c>
      <c r="B392" s="2" t="s">
        <v>4</v>
      </c>
      <c r="C392" s="2" t="s">
        <v>534</v>
      </c>
      <c r="D392" s="3" t="s">
        <v>531</v>
      </c>
      <c r="E392" s="3" t="str">
        <f>"石巻市山下町１－７－２４"</f>
        <v>石巻市山下町１－７－２４</v>
      </c>
      <c r="F392" s="2" t="str">
        <f>"0225-96-3251  "</f>
        <v xml:space="preserve">0225-96-3251  </v>
      </c>
      <c r="G392" s="3" t="s">
        <v>533</v>
      </c>
    </row>
    <row r="393" spans="1:7" x14ac:dyDescent="0.4">
      <c r="A393" s="2">
        <v>392</v>
      </c>
      <c r="B393" s="2" t="s">
        <v>4</v>
      </c>
      <c r="C393" s="2" t="s">
        <v>532</v>
      </c>
      <c r="D393" s="3" t="s">
        <v>531</v>
      </c>
      <c r="E393" s="3" t="str">
        <f>"石巻市山下町１－７－２４"</f>
        <v>石巻市山下町１－７－２４</v>
      </c>
      <c r="F393" s="2" t="str">
        <f>"0225-96-3251  "</f>
        <v xml:space="preserve">0225-96-3251  </v>
      </c>
      <c r="G393" s="3" t="s">
        <v>79</v>
      </c>
    </row>
    <row r="394" spans="1:7" ht="37.5" x14ac:dyDescent="0.4">
      <c r="A394" s="2">
        <v>393</v>
      </c>
      <c r="B394" s="2" t="s">
        <v>4</v>
      </c>
      <c r="C394" s="2" t="s">
        <v>530</v>
      </c>
      <c r="D394" s="3" t="s">
        <v>529</v>
      </c>
      <c r="E394" s="3" t="str">
        <f>"石巻市山下町２－１－５"</f>
        <v>石巻市山下町２－１－５</v>
      </c>
      <c r="F394" s="2" t="str">
        <f>"0225-96-0525  "</f>
        <v xml:space="preserve">0225-96-0525  </v>
      </c>
      <c r="G394" s="3"/>
    </row>
    <row r="395" spans="1:7" x14ac:dyDescent="0.4">
      <c r="A395" s="2">
        <v>394</v>
      </c>
      <c r="B395" s="2" t="s">
        <v>4</v>
      </c>
      <c r="C395" s="2" t="s">
        <v>528</v>
      </c>
      <c r="D395" s="3" t="s">
        <v>527</v>
      </c>
      <c r="E395" s="3" t="str">
        <f>"石巻市蛇田金津町１３－１４"</f>
        <v>石巻市蛇田金津町１３－１４</v>
      </c>
      <c r="F395" s="2" t="str">
        <f>"0225-98-3710  "</f>
        <v xml:space="preserve">0225-98-3710  </v>
      </c>
      <c r="G395" s="3" t="s">
        <v>79</v>
      </c>
    </row>
    <row r="396" spans="1:7" x14ac:dyDescent="0.4">
      <c r="A396" s="2">
        <v>395</v>
      </c>
      <c r="B396" s="2" t="s">
        <v>4</v>
      </c>
      <c r="C396" s="2" t="s">
        <v>526</v>
      </c>
      <c r="D396" s="3" t="s">
        <v>525</v>
      </c>
      <c r="E396" s="3" t="str">
        <f>"石巻市蛇田字下中埣２７－２７"</f>
        <v>石巻市蛇田字下中埣２７－２７</v>
      </c>
      <c r="F396" s="2" t="str">
        <f>"0225-98-3671  "</f>
        <v xml:space="preserve">0225-98-3671  </v>
      </c>
      <c r="G396" s="3" t="s">
        <v>28</v>
      </c>
    </row>
    <row r="397" spans="1:7" x14ac:dyDescent="0.4">
      <c r="A397" s="2">
        <v>396</v>
      </c>
      <c r="B397" s="2" t="s">
        <v>4</v>
      </c>
      <c r="C397" s="2" t="s">
        <v>524</v>
      </c>
      <c r="D397" s="3" t="s">
        <v>461</v>
      </c>
      <c r="E397" s="3" t="s">
        <v>477</v>
      </c>
      <c r="F397" s="2" t="str">
        <f t="shared" ref="F397:F442" si="15">"0225-21-7220  "</f>
        <v xml:space="preserve">0225-21-7220  </v>
      </c>
      <c r="G397" s="3" t="s">
        <v>120</v>
      </c>
    </row>
    <row r="398" spans="1:7" x14ac:dyDescent="0.4">
      <c r="A398" s="2">
        <v>397</v>
      </c>
      <c r="B398" s="2" t="s">
        <v>4</v>
      </c>
      <c r="C398" s="2" t="s">
        <v>523</v>
      </c>
      <c r="D398" s="3" t="s">
        <v>461</v>
      </c>
      <c r="E398" s="3" t="s">
        <v>477</v>
      </c>
      <c r="F398" s="2" t="str">
        <f t="shared" si="15"/>
        <v xml:space="preserve">0225-21-7220  </v>
      </c>
      <c r="G398" s="3" t="s">
        <v>115</v>
      </c>
    </row>
    <row r="399" spans="1:7" x14ac:dyDescent="0.4">
      <c r="A399" s="2">
        <v>398</v>
      </c>
      <c r="B399" s="2" t="s">
        <v>4</v>
      </c>
      <c r="C399" s="2" t="s">
        <v>522</v>
      </c>
      <c r="D399" s="3" t="s">
        <v>461</v>
      </c>
      <c r="E399" s="3" t="s">
        <v>477</v>
      </c>
      <c r="F399" s="2" t="str">
        <f t="shared" si="15"/>
        <v xml:space="preserve">0225-21-7220  </v>
      </c>
      <c r="G399" s="3" t="s">
        <v>53</v>
      </c>
    </row>
    <row r="400" spans="1:7" x14ac:dyDescent="0.4">
      <c r="A400" s="2">
        <v>399</v>
      </c>
      <c r="B400" s="2" t="s">
        <v>4</v>
      </c>
      <c r="C400" s="2" t="s">
        <v>521</v>
      </c>
      <c r="D400" s="3" t="s">
        <v>461</v>
      </c>
      <c r="E400" s="3" t="s">
        <v>477</v>
      </c>
      <c r="F400" s="2" t="str">
        <f t="shared" si="15"/>
        <v xml:space="preserve">0225-21-7220  </v>
      </c>
      <c r="G400" s="3" t="s">
        <v>520</v>
      </c>
    </row>
    <row r="401" spans="1:7" x14ac:dyDescent="0.4">
      <c r="A401" s="2">
        <v>400</v>
      </c>
      <c r="B401" s="2" t="s">
        <v>4</v>
      </c>
      <c r="C401" s="2" t="s">
        <v>519</v>
      </c>
      <c r="D401" s="3" t="s">
        <v>461</v>
      </c>
      <c r="E401" s="3" t="s">
        <v>477</v>
      </c>
      <c r="F401" s="2" t="str">
        <f t="shared" si="15"/>
        <v xml:space="preserve">0225-21-7220  </v>
      </c>
      <c r="G401" s="3" t="s">
        <v>5</v>
      </c>
    </row>
    <row r="402" spans="1:7" x14ac:dyDescent="0.4">
      <c r="A402" s="2">
        <v>401</v>
      </c>
      <c r="B402" s="2" t="s">
        <v>4</v>
      </c>
      <c r="C402" s="2" t="s">
        <v>518</v>
      </c>
      <c r="D402" s="3" t="s">
        <v>461</v>
      </c>
      <c r="E402" s="3" t="s">
        <v>477</v>
      </c>
      <c r="F402" s="2" t="str">
        <f t="shared" si="15"/>
        <v xml:space="preserve">0225-21-7220  </v>
      </c>
      <c r="G402" s="3" t="s">
        <v>517</v>
      </c>
    </row>
    <row r="403" spans="1:7" x14ac:dyDescent="0.4">
      <c r="A403" s="2">
        <v>402</v>
      </c>
      <c r="B403" s="2" t="s">
        <v>4</v>
      </c>
      <c r="C403" s="2" t="s">
        <v>516</v>
      </c>
      <c r="D403" s="3" t="s">
        <v>461</v>
      </c>
      <c r="E403" s="3" t="s">
        <v>477</v>
      </c>
      <c r="F403" s="2" t="str">
        <f t="shared" si="15"/>
        <v xml:space="preserve">0225-21-7220  </v>
      </c>
      <c r="G403" s="3" t="s">
        <v>515</v>
      </c>
    </row>
    <row r="404" spans="1:7" x14ac:dyDescent="0.4">
      <c r="A404" s="2">
        <v>403</v>
      </c>
      <c r="B404" s="2" t="s">
        <v>4</v>
      </c>
      <c r="C404" s="2" t="s">
        <v>514</v>
      </c>
      <c r="D404" s="3" t="s">
        <v>461</v>
      </c>
      <c r="E404" s="3" t="s">
        <v>477</v>
      </c>
      <c r="F404" s="2" t="str">
        <f t="shared" si="15"/>
        <v xml:space="preserve">0225-21-7220  </v>
      </c>
      <c r="G404" s="3" t="s">
        <v>88</v>
      </c>
    </row>
    <row r="405" spans="1:7" x14ac:dyDescent="0.4">
      <c r="A405" s="2">
        <v>404</v>
      </c>
      <c r="B405" s="2" t="s">
        <v>4</v>
      </c>
      <c r="C405" s="2" t="s">
        <v>513</v>
      </c>
      <c r="D405" s="3" t="s">
        <v>461</v>
      </c>
      <c r="E405" s="3" t="s">
        <v>477</v>
      </c>
      <c r="F405" s="2" t="str">
        <f t="shared" si="15"/>
        <v xml:space="preserve">0225-21-7220  </v>
      </c>
      <c r="G405" s="3" t="s">
        <v>82</v>
      </c>
    </row>
    <row r="406" spans="1:7" x14ac:dyDescent="0.4">
      <c r="A406" s="2">
        <v>405</v>
      </c>
      <c r="B406" s="2" t="s">
        <v>4</v>
      </c>
      <c r="C406" s="2" t="s">
        <v>512</v>
      </c>
      <c r="D406" s="3" t="s">
        <v>461</v>
      </c>
      <c r="E406" s="3" t="s">
        <v>477</v>
      </c>
      <c r="F406" s="2" t="str">
        <f t="shared" si="15"/>
        <v xml:space="preserve">0225-21-7220  </v>
      </c>
      <c r="G406" s="3" t="s">
        <v>115</v>
      </c>
    </row>
    <row r="407" spans="1:7" x14ac:dyDescent="0.4">
      <c r="A407" s="2">
        <v>406</v>
      </c>
      <c r="B407" s="2" t="s">
        <v>4</v>
      </c>
      <c r="C407" s="2" t="s">
        <v>511</v>
      </c>
      <c r="D407" s="3" t="s">
        <v>461</v>
      </c>
      <c r="E407" s="3" t="s">
        <v>477</v>
      </c>
      <c r="F407" s="2" t="str">
        <f t="shared" si="15"/>
        <v xml:space="preserve">0225-21-7220  </v>
      </c>
      <c r="G407" s="3" t="s">
        <v>53</v>
      </c>
    </row>
    <row r="408" spans="1:7" x14ac:dyDescent="0.4">
      <c r="A408" s="2">
        <v>407</v>
      </c>
      <c r="B408" s="2" t="s">
        <v>4</v>
      </c>
      <c r="C408" s="2" t="s">
        <v>510</v>
      </c>
      <c r="D408" s="3" t="s">
        <v>461</v>
      </c>
      <c r="E408" s="3" t="s">
        <v>477</v>
      </c>
      <c r="F408" s="2" t="str">
        <f t="shared" si="15"/>
        <v xml:space="preserve">0225-21-7220  </v>
      </c>
      <c r="G408" s="3" t="s">
        <v>53</v>
      </c>
    </row>
    <row r="409" spans="1:7" x14ac:dyDescent="0.4">
      <c r="A409" s="2">
        <v>408</v>
      </c>
      <c r="B409" s="2" t="s">
        <v>4</v>
      </c>
      <c r="C409" s="2" t="s">
        <v>509</v>
      </c>
      <c r="D409" s="3" t="s">
        <v>461</v>
      </c>
      <c r="E409" s="3" t="s">
        <v>477</v>
      </c>
      <c r="F409" s="2" t="str">
        <f t="shared" si="15"/>
        <v xml:space="preserve">0225-21-7220  </v>
      </c>
      <c r="G409" s="3" t="s">
        <v>28</v>
      </c>
    </row>
    <row r="410" spans="1:7" x14ac:dyDescent="0.4">
      <c r="A410" s="2">
        <v>409</v>
      </c>
      <c r="B410" s="2" t="s">
        <v>4</v>
      </c>
      <c r="C410" s="2" t="s">
        <v>508</v>
      </c>
      <c r="D410" s="3" t="s">
        <v>461</v>
      </c>
      <c r="E410" s="3" t="s">
        <v>477</v>
      </c>
      <c r="F410" s="2" t="str">
        <f t="shared" si="15"/>
        <v xml:space="preserve">0225-21-7220  </v>
      </c>
      <c r="G410" s="3" t="s">
        <v>26</v>
      </c>
    </row>
    <row r="411" spans="1:7" x14ac:dyDescent="0.4">
      <c r="A411" s="2">
        <v>410</v>
      </c>
      <c r="B411" s="2" t="s">
        <v>4</v>
      </c>
      <c r="C411" s="2" t="s">
        <v>507</v>
      </c>
      <c r="D411" s="3" t="s">
        <v>461</v>
      </c>
      <c r="E411" s="3" t="s">
        <v>477</v>
      </c>
      <c r="F411" s="2" t="str">
        <f t="shared" si="15"/>
        <v xml:space="preserve">0225-21-7220  </v>
      </c>
      <c r="G411" s="3" t="s">
        <v>82</v>
      </c>
    </row>
    <row r="412" spans="1:7" x14ac:dyDescent="0.4">
      <c r="A412" s="2">
        <v>411</v>
      </c>
      <c r="B412" s="2" t="s">
        <v>4</v>
      </c>
      <c r="C412" s="2" t="s">
        <v>506</v>
      </c>
      <c r="D412" s="3" t="s">
        <v>461</v>
      </c>
      <c r="E412" s="3" t="s">
        <v>477</v>
      </c>
      <c r="F412" s="2" t="str">
        <f t="shared" si="15"/>
        <v xml:space="preserve">0225-21-7220  </v>
      </c>
      <c r="G412" s="3" t="s">
        <v>53</v>
      </c>
    </row>
    <row r="413" spans="1:7" x14ac:dyDescent="0.4">
      <c r="A413" s="2">
        <v>412</v>
      </c>
      <c r="B413" s="2" t="s">
        <v>4</v>
      </c>
      <c r="C413" s="2" t="s">
        <v>505</v>
      </c>
      <c r="D413" s="3" t="s">
        <v>461</v>
      </c>
      <c r="E413" s="3" t="s">
        <v>477</v>
      </c>
      <c r="F413" s="2" t="str">
        <f t="shared" si="15"/>
        <v xml:space="preserve">0225-21-7220  </v>
      </c>
      <c r="G413" s="3" t="s">
        <v>82</v>
      </c>
    </row>
    <row r="414" spans="1:7" x14ac:dyDescent="0.4">
      <c r="A414" s="2">
        <v>413</v>
      </c>
      <c r="B414" s="2" t="s">
        <v>4</v>
      </c>
      <c r="C414" s="2" t="s">
        <v>504</v>
      </c>
      <c r="D414" s="3" t="s">
        <v>461</v>
      </c>
      <c r="E414" s="3" t="s">
        <v>477</v>
      </c>
      <c r="F414" s="2" t="str">
        <f t="shared" si="15"/>
        <v xml:space="preserve">0225-21-7220  </v>
      </c>
      <c r="G414" s="3" t="s">
        <v>86</v>
      </c>
    </row>
    <row r="415" spans="1:7" x14ac:dyDescent="0.4">
      <c r="A415" s="2">
        <v>414</v>
      </c>
      <c r="B415" s="2" t="s">
        <v>4</v>
      </c>
      <c r="C415" s="2" t="s">
        <v>503</v>
      </c>
      <c r="D415" s="3" t="s">
        <v>461</v>
      </c>
      <c r="E415" s="3" t="s">
        <v>477</v>
      </c>
      <c r="F415" s="2" t="str">
        <f t="shared" si="15"/>
        <v xml:space="preserve">0225-21-7220  </v>
      </c>
      <c r="G415" s="3" t="s">
        <v>97</v>
      </c>
    </row>
    <row r="416" spans="1:7" x14ac:dyDescent="0.4">
      <c r="A416" s="2">
        <v>415</v>
      </c>
      <c r="B416" s="2" t="s">
        <v>4</v>
      </c>
      <c r="C416" s="2" t="s">
        <v>502</v>
      </c>
      <c r="D416" s="3" t="s">
        <v>461</v>
      </c>
      <c r="E416" s="3" t="s">
        <v>477</v>
      </c>
      <c r="F416" s="2" t="str">
        <f t="shared" si="15"/>
        <v xml:space="preserve">0225-21-7220  </v>
      </c>
      <c r="G416" s="3" t="s">
        <v>82</v>
      </c>
    </row>
    <row r="417" spans="1:7" x14ac:dyDescent="0.4">
      <c r="A417" s="2">
        <v>416</v>
      </c>
      <c r="B417" s="2" t="s">
        <v>4</v>
      </c>
      <c r="C417" s="2" t="s">
        <v>501</v>
      </c>
      <c r="D417" s="3" t="s">
        <v>461</v>
      </c>
      <c r="E417" s="3" t="s">
        <v>477</v>
      </c>
      <c r="F417" s="2" t="str">
        <f t="shared" si="15"/>
        <v xml:space="preserve">0225-21-7220  </v>
      </c>
      <c r="G417" s="3" t="s">
        <v>26</v>
      </c>
    </row>
    <row r="418" spans="1:7" x14ac:dyDescent="0.4">
      <c r="A418" s="2">
        <v>417</v>
      </c>
      <c r="B418" s="2" t="s">
        <v>4</v>
      </c>
      <c r="C418" s="2" t="s">
        <v>500</v>
      </c>
      <c r="D418" s="3" t="s">
        <v>461</v>
      </c>
      <c r="E418" s="3" t="s">
        <v>477</v>
      </c>
      <c r="F418" s="2" t="str">
        <f t="shared" si="15"/>
        <v xml:space="preserve">0225-21-7220  </v>
      </c>
      <c r="G418" s="3" t="s">
        <v>82</v>
      </c>
    </row>
    <row r="419" spans="1:7" x14ac:dyDescent="0.4">
      <c r="A419" s="2">
        <v>418</v>
      </c>
      <c r="B419" s="2" t="s">
        <v>4</v>
      </c>
      <c r="C419" s="2" t="s">
        <v>499</v>
      </c>
      <c r="D419" s="3" t="s">
        <v>461</v>
      </c>
      <c r="E419" s="3" t="s">
        <v>477</v>
      </c>
      <c r="F419" s="2" t="str">
        <f t="shared" si="15"/>
        <v xml:space="preserve">0225-21-7220  </v>
      </c>
      <c r="G419" s="3" t="s">
        <v>88</v>
      </c>
    </row>
    <row r="420" spans="1:7" x14ac:dyDescent="0.4">
      <c r="A420" s="2">
        <v>419</v>
      </c>
      <c r="B420" s="2" t="s">
        <v>4</v>
      </c>
      <c r="C420" s="2" t="s">
        <v>498</v>
      </c>
      <c r="D420" s="3" t="s">
        <v>461</v>
      </c>
      <c r="E420" s="3" t="s">
        <v>477</v>
      </c>
      <c r="F420" s="2" t="str">
        <f t="shared" si="15"/>
        <v xml:space="preserve">0225-21-7220  </v>
      </c>
      <c r="G420" s="3" t="s">
        <v>383</v>
      </c>
    </row>
    <row r="421" spans="1:7" x14ac:dyDescent="0.4">
      <c r="A421" s="2">
        <v>420</v>
      </c>
      <c r="B421" s="2" t="s">
        <v>4</v>
      </c>
      <c r="C421" s="2" t="s">
        <v>497</v>
      </c>
      <c r="D421" s="3" t="s">
        <v>461</v>
      </c>
      <c r="E421" s="3" t="s">
        <v>477</v>
      </c>
      <c r="F421" s="2" t="str">
        <f t="shared" si="15"/>
        <v xml:space="preserve">0225-21-7220  </v>
      </c>
      <c r="G421" s="3" t="s">
        <v>481</v>
      </c>
    </row>
    <row r="422" spans="1:7" x14ac:dyDescent="0.4">
      <c r="A422" s="2">
        <v>421</v>
      </c>
      <c r="B422" s="2" t="s">
        <v>4</v>
      </c>
      <c r="C422" s="2" t="s">
        <v>496</v>
      </c>
      <c r="D422" s="3" t="s">
        <v>461</v>
      </c>
      <c r="E422" s="3" t="s">
        <v>477</v>
      </c>
      <c r="F422" s="2" t="str">
        <f t="shared" si="15"/>
        <v xml:space="preserve">0225-21-7220  </v>
      </c>
      <c r="G422" s="3" t="s">
        <v>495</v>
      </c>
    </row>
    <row r="423" spans="1:7" x14ac:dyDescent="0.4">
      <c r="A423" s="2">
        <v>422</v>
      </c>
      <c r="B423" s="2" t="s">
        <v>4</v>
      </c>
      <c r="C423" s="2" t="s">
        <v>494</v>
      </c>
      <c r="D423" s="3" t="s">
        <v>461</v>
      </c>
      <c r="E423" s="3" t="s">
        <v>477</v>
      </c>
      <c r="F423" s="2" t="str">
        <f t="shared" si="15"/>
        <v xml:space="preserve">0225-21-7220  </v>
      </c>
      <c r="G423" s="3" t="s">
        <v>493</v>
      </c>
    </row>
    <row r="424" spans="1:7" x14ac:dyDescent="0.4">
      <c r="A424" s="2">
        <v>423</v>
      </c>
      <c r="B424" s="2" t="s">
        <v>4</v>
      </c>
      <c r="C424" s="2" t="s">
        <v>492</v>
      </c>
      <c r="D424" s="3" t="s">
        <v>461</v>
      </c>
      <c r="E424" s="3" t="s">
        <v>477</v>
      </c>
      <c r="F424" s="2" t="str">
        <f t="shared" si="15"/>
        <v xml:space="preserve">0225-21-7220  </v>
      </c>
      <c r="G424" s="3" t="s">
        <v>180</v>
      </c>
    </row>
    <row r="425" spans="1:7" x14ac:dyDescent="0.4">
      <c r="A425" s="2">
        <v>424</v>
      </c>
      <c r="B425" s="2" t="s">
        <v>4</v>
      </c>
      <c r="C425" s="2" t="s">
        <v>491</v>
      </c>
      <c r="D425" s="3" t="s">
        <v>461</v>
      </c>
      <c r="E425" s="3" t="s">
        <v>477</v>
      </c>
      <c r="F425" s="2" t="str">
        <f t="shared" si="15"/>
        <v xml:space="preserve">0225-21-7220  </v>
      </c>
      <c r="G425" s="3" t="s">
        <v>53</v>
      </c>
    </row>
    <row r="426" spans="1:7" x14ac:dyDescent="0.4">
      <c r="A426" s="2">
        <v>425</v>
      </c>
      <c r="B426" s="2" t="s">
        <v>4</v>
      </c>
      <c r="C426" s="2" t="s">
        <v>490</v>
      </c>
      <c r="D426" s="3" t="s">
        <v>461</v>
      </c>
      <c r="E426" s="3" t="s">
        <v>483</v>
      </c>
      <c r="F426" s="2" t="str">
        <f t="shared" si="15"/>
        <v xml:space="preserve">0225-21-7220  </v>
      </c>
      <c r="G426" s="3" t="s">
        <v>120</v>
      </c>
    </row>
    <row r="427" spans="1:7" x14ac:dyDescent="0.4">
      <c r="A427" s="2">
        <v>426</v>
      </c>
      <c r="B427" s="2" t="s">
        <v>4</v>
      </c>
      <c r="C427" s="2" t="s">
        <v>489</v>
      </c>
      <c r="D427" s="3" t="s">
        <v>461</v>
      </c>
      <c r="E427" s="3" t="s">
        <v>477</v>
      </c>
      <c r="F427" s="2" t="str">
        <f t="shared" si="15"/>
        <v xml:space="preserve">0225-21-7220  </v>
      </c>
      <c r="G427" s="3" t="s">
        <v>488</v>
      </c>
    </row>
    <row r="428" spans="1:7" x14ac:dyDescent="0.4">
      <c r="A428" s="2">
        <v>427</v>
      </c>
      <c r="B428" s="2" t="s">
        <v>4</v>
      </c>
      <c r="C428" s="2" t="s">
        <v>487</v>
      </c>
      <c r="D428" s="3" t="s">
        <v>461</v>
      </c>
      <c r="E428" s="3" t="s">
        <v>477</v>
      </c>
      <c r="F428" s="2" t="str">
        <f t="shared" si="15"/>
        <v xml:space="preserve">0225-21-7220  </v>
      </c>
      <c r="G428" s="3" t="s">
        <v>75</v>
      </c>
    </row>
    <row r="429" spans="1:7" x14ac:dyDescent="0.4">
      <c r="A429" s="2">
        <v>428</v>
      </c>
      <c r="B429" s="2" t="s">
        <v>4</v>
      </c>
      <c r="C429" s="2" t="s">
        <v>486</v>
      </c>
      <c r="D429" s="3" t="s">
        <v>461</v>
      </c>
      <c r="E429" s="3" t="s">
        <v>477</v>
      </c>
      <c r="F429" s="2" t="str">
        <f t="shared" si="15"/>
        <v xml:space="preserve">0225-21-7220  </v>
      </c>
      <c r="G429" s="3" t="s">
        <v>171</v>
      </c>
    </row>
    <row r="430" spans="1:7" x14ac:dyDescent="0.4">
      <c r="A430" s="2">
        <v>429</v>
      </c>
      <c r="B430" s="2" t="s">
        <v>4</v>
      </c>
      <c r="C430" s="2" t="s">
        <v>485</v>
      </c>
      <c r="D430" s="3" t="s">
        <v>461</v>
      </c>
      <c r="E430" s="3" t="s">
        <v>477</v>
      </c>
      <c r="F430" s="2" t="str">
        <f t="shared" si="15"/>
        <v xml:space="preserve">0225-21-7220  </v>
      </c>
      <c r="G430" s="3" t="s">
        <v>75</v>
      </c>
    </row>
    <row r="431" spans="1:7" x14ac:dyDescent="0.4">
      <c r="A431" s="2">
        <v>430</v>
      </c>
      <c r="B431" s="2" t="s">
        <v>4</v>
      </c>
      <c r="C431" s="2" t="s">
        <v>484</v>
      </c>
      <c r="D431" s="3" t="s">
        <v>461</v>
      </c>
      <c r="E431" s="3" t="s">
        <v>483</v>
      </c>
      <c r="F431" s="2" t="str">
        <f t="shared" si="15"/>
        <v xml:space="preserve">0225-21-7220  </v>
      </c>
      <c r="G431" s="3" t="s">
        <v>120</v>
      </c>
    </row>
    <row r="432" spans="1:7" x14ac:dyDescent="0.4">
      <c r="A432" s="2">
        <v>431</v>
      </c>
      <c r="B432" s="2" t="s">
        <v>4</v>
      </c>
      <c r="C432" s="2" t="s">
        <v>482</v>
      </c>
      <c r="D432" s="3" t="s">
        <v>461</v>
      </c>
      <c r="E432" s="3" t="s">
        <v>477</v>
      </c>
      <c r="F432" s="2" t="str">
        <f t="shared" si="15"/>
        <v xml:space="preserve">0225-21-7220  </v>
      </c>
      <c r="G432" s="3" t="s">
        <v>481</v>
      </c>
    </row>
    <row r="433" spans="1:7" x14ac:dyDescent="0.4">
      <c r="A433" s="2">
        <v>432</v>
      </c>
      <c r="B433" s="2" t="s">
        <v>4</v>
      </c>
      <c r="C433" s="2" t="s">
        <v>480</v>
      </c>
      <c r="D433" s="3" t="s">
        <v>461</v>
      </c>
      <c r="E433" s="3" t="s">
        <v>477</v>
      </c>
      <c r="F433" s="2" t="str">
        <f t="shared" si="15"/>
        <v xml:space="preserve">0225-21-7220  </v>
      </c>
      <c r="G433" s="3" t="s">
        <v>9</v>
      </c>
    </row>
    <row r="434" spans="1:7" x14ac:dyDescent="0.4">
      <c r="A434" s="2">
        <v>433</v>
      </c>
      <c r="B434" s="2" t="s">
        <v>4</v>
      </c>
      <c r="C434" s="2" t="s">
        <v>479</v>
      </c>
      <c r="D434" s="3" t="s">
        <v>461</v>
      </c>
      <c r="E434" s="3" t="s">
        <v>477</v>
      </c>
      <c r="F434" s="2" t="str">
        <f t="shared" si="15"/>
        <v xml:space="preserve">0225-21-7220  </v>
      </c>
      <c r="G434" s="3" t="s">
        <v>120</v>
      </c>
    </row>
    <row r="435" spans="1:7" x14ac:dyDescent="0.4">
      <c r="A435" s="2">
        <v>434</v>
      </c>
      <c r="B435" s="2" t="s">
        <v>4</v>
      </c>
      <c r="C435" s="2" t="s">
        <v>478</v>
      </c>
      <c r="D435" s="3" t="s">
        <v>461</v>
      </c>
      <c r="E435" s="3" t="s">
        <v>477</v>
      </c>
      <c r="F435" s="2" t="str">
        <f t="shared" si="15"/>
        <v xml:space="preserve">0225-21-7220  </v>
      </c>
      <c r="G435" s="3" t="s">
        <v>180</v>
      </c>
    </row>
    <row r="436" spans="1:7" x14ac:dyDescent="0.4">
      <c r="A436" s="2">
        <v>435</v>
      </c>
      <c r="B436" s="2" t="s">
        <v>4</v>
      </c>
      <c r="C436" s="2" t="s">
        <v>476</v>
      </c>
      <c r="D436" s="3" t="s">
        <v>461</v>
      </c>
      <c r="E436" s="3" t="s">
        <v>470</v>
      </c>
      <c r="F436" s="2" t="str">
        <f t="shared" si="15"/>
        <v xml:space="preserve">0225-21-7220  </v>
      </c>
      <c r="G436" s="3" t="s">
        <v>337</v>
      </c>
    </row>
    <row r="437" spans="1:7" x14ac:dyDescent="0.4">
      <c r="A437" s="2">
        <v>436</v>
      </c>
      <c r="B437" s="2" t="s">
        <v>4</v>
      </c>
      <c r="C437" s="2" t="s">
        <v>475</v>
      </c>
      <c r="D437" s="3" t="s">
        <v>461</v>
      </c>
      <c r="E437" s="3" t="s">
        <v>470</v>
      </c>
      <c r="F437" s="2" t="str">
        <f t="shared" si="15"/>
        <v xml:space="preserve">0225-21-7220  </v>
      </c>
      <c r="G437" s="3" t="s">
        <v>115</v>
      </c>
    </row>
    <row r="438" spans="1:7" x14ac:dyDescent="0.4">
      <c r="A438" s="2">
        <v>437</v>
      </c>
      <c r="B438" s="2" t="s">
        <v>4</v>
      </c>
      <c r="C438" s="2" t="s">
        <v>474</v>
      </c>
      <c r="D438" s="3" t="s">
        <v>461</v>
      </c>
      <c r="E438" s="3" t="s">
        <v>470</v>
      </c>
      <c r="F438" s="2" t="str">
        <f t="shared" si="15"/>
        <v xml:space="preserve">0225-21-7220  </v>
      </c>
      <c r="G438" s="3" t="s">
        <v>169</v>
      </c>
    </row>
    <row r="439" spans="1:7" x14ac:dyDescent="0.4">
      <c r="A439" s="2">
        <v>438</v>
      </c>
      <c r="B439" s="2" t="s">
        <v>4</v>
      </c>
      <c r="C439" s="2" t="s">
        <v>473</v>
      </c>
      <c r="D439" s="3" t="s">
        <v>461</v>
      </c>
      <c r="E439" s="3" t="s">
        <v>470</v>
      </c>
      <c r="F439" s="2" t="str">
        <f t="shared" si="15"/>
        <v xml:space="preserve">0225-21-7220  </v>
      </c>
      <c r="G439" s="3" t="s">
        <v>180</v>
      </c>
    </row>
    <row r="440" spans="1:7" x14ac:dyDescent="0.4">
      <c r="A440" s="2">
        <v>439</v>
      </c>
      <c r="B440" s="2" t="s">
        <v>4</v>
      </c>
      <c r="C440" s="2" t="s">
        <v>472</v>
      </c>
      <c r="D440" s="3" t="s">
        <v>461</v>
      </c>
      <c r="E440" s="3" t="s">
        <v>470</v>
      </c>
      <c r="F440" s="2" t="str">
        <f t="shared" si="15"/>
        <v xml:space="preserve">0225-21-7220  </v>
      </c>
      <c r="G440" s="3" t="s">
        <v>97</v>
      </c>
    </row>
    <row r="441" spans="1:7" x14ac:dyDescent="0.4">
      <c r="A441" s="2">
        <v>440</v>
      </c>
      <c r="B441" s="2" t="s">
        <v>4</v>
      </c>
      <c r="C441" s="2" t="s">
        <v>471</v>
      </c>
      <c r="D441" s="3" t="s">
        <v>461</v>
      </c>
      <c r="E441" s="3" t="s">
        <v>470</v>
      </c>
      <c r="F441" s="2" t="str">
        <f t="shared" si="15"/>
        <v xml:space="preserve">0225-21-7220  </v>
      </c>
      <c r="G441" s="3" t="s">
        <v>227</v>
      </c>
    </row>
    <row r="442" spans="1:7" x14ac:dyDescent="0.4">
      <c r="A442" s="2">
        <v>441</v>
      </c>
      <c r="B442" s="2" t="s">
        <v>4</v>
      </c>
      <c r="C442" s="2" t="s">
        <v>469</v>
      </c>
      <c r="D442" s="3" t="s">
        <v>461</v>
      </c>
      <c r="E442" s="3" t="s">
        <v>468</v>
      </c>
      <c r="F442" s="2" t="str">
        <f t="shared" si="15"/>
        <v xml:space="preserve">0225-21-7220  </v>
      </c>
      <c r="G442" s="3" t="s">
        <v>53</v>
      </c>
    </row>
    <row r="443" spans="1:7" x14ac:dyDescent="0.4">
      <c r="A443" s="2">
        <v>442</v>
      </c>
      <c r="B443" s="2" t="s">
        <v>4</v>
      </c>
      <c r="C443" s="2" t="s">
        <v>467</v>
      </c>
      <c r="D443" s="3" t="s">
        <v>466</v>
      </c>
      <c r="E443" s="3" t="str">
        <f>"石巻市蛇田字南経塚７-３"</f>
        <v>石巻市蛇田字南経塚７-３</v>
      </c>
      <c r="F443" s="2" t="str">
        <f>"0225-22-0789  "</f>
        <v xml:space="preserve">0225-22-0789  </v>
      </c>
      <c r="G443" s="3" t="s">
        <v>465</v>
      </c>
    </row>
    <row r="444" spans="1:7" x14ac:dyDescent="0.4">
      <c r="A444" s="2">
        <v>443</v>
      </c>
      <c r="B444" s="2" t="s">
        <v>4</v>
      </c>
      <c r="C444" s="2" t="s">
        <v>464</v>
      </c>
      <c r="D444" s="3" t="s">
        <v>461</v>
      </c>
      <c r="E444" s="3" t="s">
        <v>463</v>
      </c>
      <c r="F444" s="2" t="str">
        <f>"0225-21-7220  "</f>
        <v xml:space="preserve">0225-21-7220  </v>
      </c>
      <c r="G444" s="3" t="s">
        <v>9</v>
      </c>
    </row>
    <row r="445" spans="1:7" x14ac:dyDescent="0.4">
      <c r="A445" s="2">
        <v>444</v>
      </c>
      <c r="B445" s="2" t="s">
        <v>4</v>
      </c>
      <c r="C445" s="2" t="s">
        <v>462</v>
      </c>
      <c r="D445" s="3" t="s">
        <v>461</v>
      </c>
      <c r="E445" s="3" t="s">
        <v>460</v>
      </c>
      <c r="F445" s="2" t="str">
        <f>"0225-21-7220  "</f>
        <v xml:space="preserve">0225-21-7220  </v>
      </c>
      <c r="G445" s="3" t="s">
        <v>82</v>
      </c>
    </row>
    <row r="446" spans="1:7" x14ac:dyDescent="0.4">
      <c r="A446" s="2">
        <v>445</v>
      </c>
      <c r="B446" s="2" t="s">
        <v>4</v>
      </c>
      <c r="C446" s="2" t="s">
        <v>459</v>
      </c>
      <c r="D446" s="3" t="s">
        <v>458</v>
      </c>
      <c r="E446" s="3" t="str">
        <f>"石巻市蛇田東道下４８－１"</f>
        <v>石巻市蛇田東道下４８－１</v>
      </c>
      <c r="F446" s="2" t="str">
        <f>"0225-23-2111  "</f>
        <v xml:space="preserve">0225-23-2111  </v>
      </c>
      <c r="G446" s="3" t="s">
        <v>97</v>
      </c>
    </row>
    <row r="447" spans="1:7" x14ac:dyDescent="0.4">
      <c r="A447" s="2">
        <v>446</v>
      </c>
      <c r="B447" s="2" t="s">
        <v>4</v>
      </c>
      <c r="C447" s="2" t="s">
        <v>457</v>
      </c>
      <c r="D447" s="3" t="s">
        <v>456</v>
      </c>
      <c r="E447" s="3" t="str">
        <f>"石巻市新橋3-11"</f>
        <v>石巻市新橋3-11</v>
      </c>
      <c r="F447" s="2" t="str">
        <f>"0225-25-7315  "</f>
        <v xml:space="preserve">0225-25-7315  </v>
      </c>
      <c r="G447" s="3" t="s">
        <v>5</v>
      </c>
    </row>
    <row r="448" spans="1:7" x14ac:dyDescent="0.4">
      <c r="A448" s="2">
        <v>447</v>
      </c>
      <c r="B448" s="2" t="s">
        <v>4</v>
      </c>
      <c r="C448" s="2" t="s">
        <v>455</v>
      </c>
      <c r="D448" s="3" t="s">
        <v>454</v>
      </c>
      <c r="E448" s="3" t="str">
        <f>"石巻市新橋５－３３"</f>
        <v>石巻市新橋５－３３</v>
      </c>
      <c r="F448" s="2" t="str">
        <f>"0225-23-2151  "</f>
        <v xml:space="preserve">0225-23-2151  </v>
      </c>
      <c r="G448" s="3" t="s">
        <v>453</v>
      </c>
    </row>
    <row r="449" spans="1:7" ht="37.5" x14ac:dyDescent="0.4">
      <c r="A449" s="2">
        <v>448</v>
      </c>
      <c r="B449" s="2" t="s">
        <v>4</v>
      </c>
      <c r="C449" s="2" t="s">
        <v>452</v>
      </c>
      <c r="D449" s="3" t="s">
        <v>451</v>
      </c>
      <c r="E449" s="3" t="str">
        <f>"石巻市大街道西２丁目１－２６"</f>
        <v>石巻市大街道西２丁目１－２６</v>
      </c>
      <c r="F449" s="2" t="str">
        <f>"0225-23-3434  "</f>
        <v xml:space="preserve">0225-23-3434  </v>
      </c>
      <c r="G449" s="3" t="s">
        <v>5</v>
      </c>
    </row>
    <row r="450" spans="1:7" ht="37.5" x14ac:dyDescent="0.4">
      <c r="A450" s="2">
        <v>449</v>
      </c>
      <c r="B450" s="2" t="s">
        <v>4</v>
      </c>
      <c r="C450" s="2" t="s">
        <v>450</v>
      </c>
      <c r="D450" s="3" t="s">
        <v>443</v>
      </c>
      <c r="E450" s="3" t="str">
        <f>"石巻市大街道西３－３－２７"</f>
        <v>石巻市大街道西３－３－２７</v>
      </c>
      <c r="F450" s="2" t="str">
        <f>"0225-94-9195  "</f>
        <v xml:space="preserve">0225-94-9195  </v>
      </c>
      <c r="G450" s="3" t="s">
        <v>26</v>
      </c>
    </row>
    <row r="451" spans="1:7" x14ac:dyDescent="0.4">
      <c r="A451" s="2">
        <v>450</v>
      </c>
      <c r="B451" s="2" t="s">
        <v>4</v>
      </c>
      <c r="C451" s="2" t="s">
        <v>449</v>
      </c>
      <c r="D451" s="3" t="s">
        <v>448</v>
      </c>
      <c r="E451" s="3" t="str">
        <f>"石巻市大街道西３－３－２７"</f>
        <v>石巻市大街道西３－３－２７</v>
      </c>
      <c r="F451" s="2" t="str">
        <f>"0225-94-9195  "</f>
        <v xml:space="preserve">0225-94-9195  </v>
      </c>
      <c r="G451" s="3" t="s">
        <v>447</v>
      </c>
    </row>
    <row r="452" spans="1:7" x14ac:dyDescent="0.4">
      <c r="A452" s="2">
        <v>451</v>
      </c>
      <c r="B452" s="2" t="s">
        <v>4</v>
      </c>
      <c r="C452" s="2" t="s">
        <v>446</v>
      </c>
      <c r="D452" s="3" t="s">
        <v>445</v>
      </c>
      <c r="E452" s="3" t="str">
        <f>"石巻市大街道西３－３－２７"</f>
        <v>石巻市大街道西３－３－２７</v>
      </c>
      <c r="F452" s="2" t="str">
        <f>"0225-94-9195  "</f>
        <v xml:space="preserve">0225-94-9195  </v>
      </c>
      <c r="G452" s="3" t="s">
        <v>169</v>
      </c>
    </row>
    <row r="453" spans="1:7" ht="37.5" x14ac:dyDescent="0.4">
      <c r="A453" s="2">
        <v>452</v>
      </c>
      <c r="B453" s="2" t="s">
        <v>4</v>
      </c>
      <c r="C453" s="2" t="s">
        <v>444</v>
      </c>
      <c r="D453" s="3" t="s">
        <v>443</v>
      </c>
      <c r="E453" s="3" t="str">
        <f>"石巻市大街道西3丁目3－27"</f>
        <v>石巻市大街道西3丁目3－27</v>
      </c>
      <c r="F453" s="2" t="str">
        <f>"0225-94-9195  "</f>
        <v xml:space="preserve">0225-94-9195  </v>
      </c>
      <c r="G453" s="3" t="s">
        <v>32</v>
      </c>
    </row>
    <row r="454" spans="1:7" x14ac:dyDescent="0.4">
      <c r="A454" s="2">
        <v>453</v>
      </c>
      <c r="B454" s="2" t="s">
        <v>4</v>
      </c>
      <c r="C454" s="2" t="s">
        <v>442</v>
      </c>
      <c r="D454" s="3" t="s">
        <v>441</v>
      </c>
      <c r="E454" s="3" t="str">
        <f>"石巻市大街道南５－４－３１"</f>
        <v>石巻市大街道南５－４－３１</v>
      </c>
      <c r="F454" s="2" t="str">
        <f>"0225-95-6118  "</f>
        <v xml:space="preserve">0225-95-6118  </v>
      </c>
      <c r="G454" s="3" t="s">
        <v>9</v>
      </c>
    </row>
    <row r="455" spans="1:7" ht="37.5" x14ac:dyDescent="0.4">
      <c r="A455" s="2">
        <v>454</v>
      </c>
      <c r="B455" s="2" t="s">
        <v>4</v>
      </c>
      <c r="C455" s="2" t="s">
        <v>440</v>
      </c>
      <c r="D455" s="3" t="s">
        <v>439</v>
      </c>
      <c r="E455" s="3" t="str">
        <f>"石巻市鋳銭場１－１０"</f>
        <v>石巻市鋳銭場１－１０</v>
      </c>
      <c r="F455" s="2" t="str">
        <f>"0225-21-5335  "</f>
        <v xml:space="preserve">0225-21-5335  </v>
      </c>
      <c r="G455" s="3" t="s">
        <v>438</v>
      </c>
    </row>
    <row r="456" spans="1:7" x14ac:dyDescent="0.4">
      <c r="A456" s="2">
        <v>455</v>
      </c>
      <c r="B456" s="2" t="s">
        <v>4</v>
      </c>
      <c r="C456" s="2" t="s">
        <v>437</v>
      </c>
      <c r="D456" s="3" t="s">
        <v>436</v>
      </c>
      <c r="E456" s="3" t="str">
        <f>"石巻市鋳銭場５－３５"</f>
        <v>石巻市鋳銭場５－３５</v>
      </c>
      <c r="F456" s="2" t="str">
        <f>"0225-22-5012  "</f>
        <v xml:space="preserve">0225-22-5012  </v>
      </c>
      <c r="G456" s="3" t="s">
        <v>75</v>
      </c>
    </row>
    <row r="457" spans="1:7" x14ac:dyDescent="0.4">
      <c r="A457" s="2">
        <v>456</v>
      </c>
      <c r="B457" s="2" t="s">
        <v>4</v>
      </c>
      <c r="C457" s="2" t="s">
        <v>435</v>
      </c>
      <c r="D457" s="3" t="s">
        <v>434</v>
      </c>
      <c r="E457" s="3" t="str">
        <f>"仙台市宮城野区福室１－１２－１"</f>
        <v>仙台市宮城野区福室１－１２－１</v>
      </c>
      <c r="F457" s="2" t="str">
        <f>"022-259-1221  "</f>
        <v xml:space="preserve">022-259-1221  </v>
      </c>
      <c r="G457" s="3" t="s">
        <v>227</v>
      </c>
    </row>
    <row r="458" spans="1:7" ht="37.5" x14ac:dyDescent="0.4">
      <c r="A458" s="2">
        <v>457</v>
      </c>
      <c r="B458" s="2" t="s">
        <v>4</v>
      </c>
      <c r="C458" s="2" t="s">
        <v>433</v>
      </c>
      <c r="D458" s="3" t="s">
        <v>432</v>
      </c>
      <c r="E458" s="3" t="s">
        <v>431</v>
      </c>
      <c r="F458" s="2" t="str">
        <f>"022-725-8577  "</f>
        <v xml:space="preserve">022-725-8577  </v>
      </c>
      <c r="G458" s="3" t="s">
        <v>430</v>
      </c>
    </row>
    <row r="459" spans="1:7" ht="37.5" x14ac:dyDescent="0.4">
      <c r="A459" s="2">
        <v>458</v>
      </c>
      <c r="B459" s="2" t="s">
        <v>4</v>
      </c>
      <c r="C459" s="2" t="s">
        <v>429</v>
      </c>
      <c r="D459" s="3" t="s">
        <v>424</v>
      </c>
      <c r="E459" s="3" t="str">
        <f>"多賀城市下馬　２－１３－７"</f>
        <v>多賀城市下馬　２－１３－７</v>
      </c>
      <c r="F459" s="2" t="str">
        <f>"022-361-7011  "</f>
        <v xml:space="preserve">022-361-7011  </v>
      </c>
      <c r="G459" s="3" t="s">
        <v>115</v>
      </c>
    </row>
    <row r="460" spans="1:7" ht="37.5" x14ac:dyDescent="0.4">
      <c r="A460" s="2">
        <v>459</v>
      </c>
      <c r="B460" s="2" t="s">
        <v>4</v>
      </c>
      <c r="C460" s="2" t="s">
        <v>428</v>
      </c>
      <c r="D460" s="3" t="s">
        <v>421</v>
      </c>
      <c r="E460" s="3" t="str">
        <f>"多賀城市下馬　２－１３－７"</f>
        <v>多賀城市下馬　２－１３－７</v>
      </c>
      <c r="F460" s="2" t="str">
        <f>"022-361-7011  "</f>
        <v xml:space="preserve">022-361-7011  </v>
      </c>
      <c r="G460" s="3" t="s">
        <v>28</v>
      </c>
    </row>
    <row r="461" spans="1:7" ht="37.5" x14ac:dyDescent="0.4">
      <c r="A461" s="2">
        <v>460</v>
      </c>
      <c r="B461" s="2" t="s">
        <v>4</v>
      </c>
      <c r="C461" s="2" t="s">
        <v>427</v>
      </c>
      <c r="D461" s="3" t="s">
        <v>424</v>
      </c>
      <c r="E461" s="3" t="str">
        <f>"多賀城市下馬２－１３－７"</f>
        <v>多賀城市下馬２－１３－７</v>
      </c>
      <c r="F461" s="2" t="str">
        <f>"022-361-7011  "</f>
        <v xml:space="preserve">022-361-7011  </v>
      </c>
      <c r="G461" s="3" t="s">
        <v>426</v>
      </c>
    </row>
    <row r="462" spans="1:7" ht="37.5" x14ac:dyDescent="0.4">
      <c r="A462" s="2">
        <v>461</v>
      </c>
      <c r="B462" s="2" t="s">
        <v>4</v>
      </c>
      <c r="C462" s="2" t="s">
        <v>425</v>
      </c>
      <c r="D462" s="3" t="s">
        <v>424</v>
      </c>
      <c r="E462" s="3" t="str">
        <f>"多賀城市下馬２－１３－７"</f>
        <v>多賀城市下馬２－１３－７</v>
      </c>
      <c r="F462" s="2" t="str">
        <f>"022-361-7011  "</f>
        <v xml:space="preserve">022-361-7011  </v>
      </c>
      <c r="G462" s="3" t="s">
        <v>423</v>
      </c>
    </row>
    <row r="463" spans="1:7" ht="37.5" x14ac:dyDescent="0.4">
      <c r="A463" s="2">
        <v>462</v>
      </c>
      <c r="B463" s="2" t="s">
        <v>4</v>
      </c>
      <c r="C463" s="2" t="s">
        <v>422</v>
      </c>
      <c r="D463" s="3" t="s">
        <v>421</v>
      </c>
      <c r="E463" s="3" t="str">
        <f>"多賀城市下馬２－１３－７"</f>
        <v>多賀城市下馬２－１３－７</v>
      </c>
      <c r="F463" s="2" t="str">
        <f>"022-361-7011  "</f>
        <v xml:space="preserve">022-361-7011  </v>
      </c>
      <c r="G463" s="3" t="s">
        <v>365</v>
      </c>
    </row>
    <row r="464" spans="1:7" x14ac:dyDescent="0.4">
      <c r="A464" s="2">
        <v>463</v>
      </c>
      <c r="B464" s="2" t="s">
        <v>4</v>
      </c>
      <c r="C464" s="2" t="s">
        <v>420</v>
      </c>
      <c r="D464" s="3" t="s">
        <v>419</v>
      </c>
      <c r="E464" s="3" t="str">
        <f>"多賀城市笠神４－６－８"</f>
        <v>多賀城市笠神４－６－８</v>
      </c>
      <c r="F464" s="2" t="str">
        <f>"022-766-8239  "</f>
        <v xml:space="preserve">022-766-8239  </v>
      </c>
      <c r="G464" s="3" t="s">
        <v>5</v>
      </c>
    </row>
    <row r="465" spans="1:7" x14ac:dyDescent="0.4">
      <c r="A465" s="2">
        <v>464</v>
      </c>
      <c r="B465" s="2" t="s">
        <v>4</v>
      </c>
      <c r="C465" s="2" t="s">
        <v>418</v>
      </c>
      <c r="D465" s="3" t="s">
        <v>417</v>
      </c>
      <c r="E465" s="3" t="str">
        <f>"多賀城市笠神４丁目８－３"</f>
        <v>多賀城市笠神４丁目８－３</v>
      </c>
      <c r="F465" s="2" t="str">
        <f>"022-762-6560  "</f>
        <v xml:space="preserve">022-762-6560  </v>
      </c>
      <c r="G465" s="3" t="s">
        <v>416</v>
      </c>
    </row>
    <row r="466" spans="1:7" x14ac:dyDescent="0.4">
      <c r="A466" s="2">
        <v>465</v>
      </c>
      <c r="B466" s="2" t="s">
        <v>4</v>
      </c>
      <c r="C466" s="2" t="s">
        <v>415</v>
      </c>
      <c r="D466" s="3" t="s">
        <v>413</v>
      </c>
      <c r="E466" s="3" t="str">
        <f>"多賀城市高橋　１－４－１３"</f>
        <v>多賀城市高橋　１－４－１３</v>
      </c>
      <c r="F466" s="2" t="str">
        <f>"022-309-3050  "</f>
        <v xml:space="preserve">022-309-3050  </v>
      </c>
      <c r="G466" s="3" t="s">
        <v>97</v>
      </c>
    </row>
    <row r="467" spans="1:7" x14ac:dyDescent="0.4">
      <c r="A467" s="2">
        <v>466</v>
      </c>
      <c r="B467" s="2" t="s">
        <v>4</v>
      </c>
      <c r="C467" s="2" t="s">
        <v>414</v>
      </c>
      <c r="D467" s="3" t="s">
        <v>413</v>
      </c>
      <c r="E467" s="3" t="str">
        <f>"多賀城市高橋１－４－１３"</f>
        <v>多賀城市高橋１－４－１３</v>
      </c>
      <c r="F467" s="2" t="str">
        <f>"022-309-3050  "</f>
        <v xml:space="preserve">022-309-3050  </v>
      </c>
      <c r="G467" s="3" t="s">
        <v>412</v>
      </c>
    </row>
    <row r="468" spans="1:7" x14ac:dyDescent="0.4">
      <c r="A468" s="2">
        <v>467</v>
      </c>
      <c r="B468" s="2" t="s">
        <v>4</v>
      </c>
      <c r="C468" s="2" t="s">
        <v>411</v>
      </c>
      <c r="D468" s="3" t="s">
        <v>410</v>
      </c>
      <c r="E468" s="3" t="str">
        <f>"多賀城市高橋2丁目15－28"</f>
        <v>多賀城市高橋2丁目15－28</v>
      </c>
      <c r="F468" s="2" t="str">
        <f>"022-794-7201  "</f>
        <v xml:space="preserve">022-794-7201  </v>
      </c>
      <c r="G468" s="3" t="s">
        <v>409</v>
      </c>
    </row>
    <row r="469" spans="1:7" x14ac:dyDescent="0.4">
      <c r="A469" s="2">
        <v>468</v>
      </c>
      <c r="B469" s="2" t="s">
        <v>4</v>
      </c>
      <c r="C469" s="2" t="s">
        <v>408</v>
      </c>
      <c r="D469" s="3" t="s">
        <v>407</v>
      </c>
      <c r="E469" s="3" t="str">
        <f>"多賀城市高橋４－１４－６"</f>
        <v>多賀城市高橋４－１４－６</v>
      </c>
      <c r="F469" s="2" t="str">
        <f>"022-389-1760  "</f>
        <v xml:space="preserve">022-389-1760  </v>
      </c>
      <c r="G469" s="3" t="s">
        <v>41</v>
      </c>
    </row>
    <row r="470" spans="1:7" ht="37.5" x14ac:dyDescent="0.4">
      <c r="A470" s="2">
        <v>469</v>
      </c>
      <c r="B470" s="2" t="s">
        <v>4</v>
      </c>
      <c r="C470" s="2" t="s">
        <v>406</v>
      </c>
      <c r="D470" s="3" t="s">
        <v>405</v>
      </c>
      <c r="E470" s="3" t="s">
        <v>404</v>
      </c>
      <c r="F470" s="2" t="str">
        <f>"022-762-8806  "</f>
        <v xml:space="preserve">022-762-8806  </v>
      </c>
      <c r="G470" s="3" t="s">
        <v>403</v>
      </c>
    </row>
    <row r="471" spans="1:7" x14ac:dyDescent="0.4">
      <c r="A471" s="2">
        <v>470</v>
      </c>
      <c r="B471" s="2" t="s">
        <v>4</v>
      </c>
      <c r="C471" s="2" t="s">
        <v>402</v>
      </c>
      <c r="D471" s="3" t="s">
        <v>401</v>
      </c>
      <c r="E471" s="3" t="str">
        <f>"多賀城市桜木２－１－１"</f>
        <v>多賀城市桜木２－１－１</v>
      </c>
      <c r="F471" s="2" t="str">
        <f>"022-367-4111  "</f>
        <v xml:space="preserve">022-367-4111  </v>
      </c>
      <c r="G471" s="3" t="s">
        <v>400</v>
      </c>
    </row>
    <row r="472" spans="1:7" x14ac:dyDescent="0.4">
      <c r="A472" s="2">
        <v>471</v>
      </c>
      <c r="B472" s="2" t="s">
        <v>4</v>
      </c>
      <c r="C472" s="2" t="s">
        <v>399</v>
      </c>
      <c r="D472" s="3" t="s">
        <v>398</v>
      </c>
      <c r="E472" s="3" t="str">
        <f>"多賀城市桜木一丁目１－２０"</f>
        <v>多賀城市桜木一丁目１－２０</v>
      </c>
      <c r="F472" s="2" t="str">
        <f>"022-364-4335  "</f>
        <v xml:space="preserve">022-364-4335  </v>
      </c>
      <c r="G472" s="3" t="s">
        <v>227</v>
      </c>
    </row>
    <row r="473" spans="1:7" x14ac:dyDescent="0.4">
      <c r="A473" s="2">
        <v>472</v>
      </c>
      <c r="B473" s="2" t="s">
        <v>4</v>
      </c>
      <c r="C473" s="2" t="s">
        <v>397</v>
      </c>
      <c r="D473" s="3" t="s">
        <v>396</v>
      </c>
      <c r="E473" s="3" t="str">
        <f>"多賀城市大代５－１－１"</f>
        <v>多賀城市大代５－１－１</v>
      </c>
      <c r="F473" s="2" t="str">
        <f>"022-365-5050  "</f>
        <v xml:space="preserve">022-365-5050  </v>
      </c>
      <c r="G473" s="3" t="s">
        <v>97</v>
      </c>
    </row>
    <row r="474" spans="1:7" x14ac:dyDescent="0.4">
      <c r="A474" s="2">
        <v>473</v>
      </c>
      <c r="B474" s="2" t="s">
        <v>4</v>
      </c>
      <c r="C474" s="2" t="s">
        <v>395</v>
      </c>
      <c r="D474" s="3" t="s">
        <v>393</v>
      </c>
      <c r="E474" s="3" t="str">
        <f>"多賀城市中央１－１６－６"</f>
        <v>多賀城市中央１－１６－６</v>
      </c>
      <c r="F474" s="2" t="str">
        <f>"022-309-4970  "</f>
        <v xml:space="preserve">022-309-4970  </v>
      </c>
      <c r="G474" s="3" t="s">
        <v>79</v>
      </c>
    </row>
    <row r="475" spans="1:7" x14ac:dyDescent="0.4">
      <c r="A475" s="2">
        <v>474</v>
      </c>
      <c r="B475" s="2" t="s">
        <v>4</v>
      </c>
      <c r="C475" s="2" t="s">
        <v>394</v>
      </c>
      <c r="D475" s="3" t="s">
        <v>393</v>
      </c>
      <c r="E475" s="3" t="str">
        <f>"多賀城市中央１－１６－６"</f>
        <v>多賀城市中央１－１６－６</v>
      </c>
      <c r="F475" s="2" t="str">
        <f>"022-309-4970  "</f>
        <v xml:space="preserve">022-309-4970  </v>
      </c>
      <c r="G475" s="3" t="s">
        <v>79</v>
      </c>
    </row>
    <row r="476" spans="1:7" ht="37.5" x14ac:dyDescent="0.4">
      <c r="A476" s="2">
        <v>475</v>
      </c>
      <c r="B476" s="2" t="s">
        <v>4</v>
      </c>
      <c r="C476" s="2" t="s">
        <v>392</v>
      </c>
      <c r="D476" s="3" t="s">
        <v>391</v>
      </c>
      <c r="E476" s="3" t="str">
        <f>"多賀城市東田中２－２－３ベルステ－ションビル３Ｂ"</f>
        <v>多賀城市東田中２－２－３ベルステ－ションビル３Ｂ</v>
      </c>
      <c r="F476" s="2" t="str">
        <f>"022-353-6261  "</f>
        <v xml:space="preserve">022-353-6261  </v>
      </c>
      <c r="G476" s="3" t="s">
        <v>390</v>
      </c>
    </row>
    <row r="477" spans="1:7" x14ac:dyDescent="0.4">
      <c r="A477" s="2">
        <v>476</v>
      </c>
      <c r="B477" s="2" t="s">
        <v>4</v>
      </c>
      <c r="C477" s="2" t="s">
        <v>389</v>
      </c>
      <c r="D477" s="3" t="s">
        <v>388</v>
      </c>
      <c r="E477" s="3" t="str">
        <f>"多賀城市八幡４－３－８"</f>
        <v>多賀城市八幡４－３－８</v>
      </c>
      <c r="F477" s="2" t="str">
        <f>"022-364-1312  "</f>
        <v xml:space="preserve">022-364-1312  </v>
      </c>
      <c r="G477" s="3" t="s">
        <v>387</v>
      </c>
    </row>
    <row r="478" spans="1:7" x14ac:dyDescent="0.4">
      <c r="A478" s="2">
        <v>477</v>
      </c>
      <c r="B478" s="2" t="s">
        <v>4</v>
      </c>
      <c r="C478" s="2" t="s">
        <v>386</v>
      </c>
      <c r="D478" s="3" t="s">
        <v>378</v>
      </c>
      <c r="E478" s="3" t="str">
        <f t="shared" ref="E478:E483" si="16">"大崎市古川旭２－５－１"</f>
        <v>大崎市古川旭２－５－１</v>
      </c>
      <c r="F478" s="2" t="str">
        <f t="shared" ref="F478:F483" si="17">"0229-22-0063  "</f>
        <v xml:space="preserve">0229-22-0063  </v>
      </c>
      <c r="G478" s="3" t="s">
        <v>53</v>
      </c>
    </row>
    <row r="479" spans="1:7" x14ac:dyDescent="0.4">
      <c r="A479" s="2">
        <v>478</v>
      </c>
      <c r="B479" s="2" t="s">
        <v>4</v>
      </c>
      <c r="C479" s="2" t="s">
        <v>385</v>
      </c>
      <c r="D479" s="3" t="s">
        <v>378</v>
      </c>
      <c r="E479" s="3" t="str">
        <f t="shared" si="16"/>
        <v>大崎市古川旭２－５－１</v>
      </c>
      <c r="F479" s="2" t="str">
        <f t="shared" si="17"/>
        <v xml:space="preserve">0229-22-0063  </v>
      </c>
      <c r="G479" s="3" t="s">
        <v>380</v>
      </c>
    </row>
    <row r="480" spans="1:7" x14ac:dyDescent="0.4">
      <c r="A480" s="2">
        <v>479</v>
      </c>
      <c r="B480" s="2" t="s">
        <v>4</v>
      </c>
      <c r="C480" s="2" t="s">
        <v>384</v>
      </c>
      <c r="D480" s="3" t="s">
        <v>378</v>
      </c>
      <c r="E480" s="3" t="str">
        <f t="shared" si="16"/>
        <v>大崎市古川旭２－５－１</v>
      </c>
      <c r="F480" s="2" t="str">
        <f t="shared" si="17"/>
        <v xml:space="preserve">0229-22-0063  </v>
      </c>
      <c r="G480" s="3" t="s">
        <v>383</v>
      </c>
    </row>
    <row r="481" spans="1:7" x14ac:dyDescent="0.4">
      <c r="A481" s="2">
        <v>480</v>
      </c>
      <c r="B481" s="2" t="s">
        <v>4</v>
      </c>
      <c r="C481" s="2" t="s">
        <v>382</v>
      </c>
      <c r="D481" s="3" t="s">
        <v>378</v>
      </c>
      <c r="E481" s="3" t="str">
        <f t="shared" si="16"/>
        <v>大崎市古川旭２－５－１</v>
      </c>
      <c r="F481" s="2" t="str">
        <f t="shared" si="17"/>
        <v xml:space="preserve">0229-22-0063  </v>
      </c>
      <c r="G481" s="3" t="s">
        <v>380</v>
      </c>
    </row>
    <row r="482" spans="1:7" x14ac:dyDescent="0.4">
      <c r="A482" s="2">
        <v>481</v>
      </c>
      <c r="B482" s="2" t="s">
        <v>4</v>
      </c>
      <c r="C482" s="2" t="s">
        <v>381</v>
      </c>
      <c r="D482" s="3" t="s">
        <v>378</v>
      </c>
      <c r="E482" s="3" t="str">
        <f t="shared" si="16"/>
        <v>大崎市古川旭２－５－１</v>
      </c>
      <c r="F482" s="2" t="str">
        <f t="shared" si="17"/>
        <v xml:space="preserve">0229-22-0063  </v>
      </c>
      <c r="G482" s="3" t="s">
        <v>380</v>
      </c>
    </row>
    <row r="483" spans="1:7" x14ac:dyDescent="0.4">
      <c r="A483" s="2">
        <v>482</v>
      </c>
      <c r="B483" s="2" t="s">
        <v>4</v>
      </c>
      <c r="C483" s="2" t="s">
        <v>379</v>
      </c>
      <c r="D483" s="3" t="s">
        <v>378</v>
      </c>
      <c r="E483" s="3" t="str">
        <f t="shared" si="16"/>
        <v>大崎市古川旭２－５－１</v>
      </c>
      <c r="F483" s="2" t="str">
        <f t="shared" si="17"/>
        <v xml:space="preserve">0229-22-0063  </v>
      </c>
      <c r="G483" s="3" t="s">
        <v>377</v>
      </c>
    </row>
    <row r="484" spans="1:7" x14ac:dyDescent="0.4">
      <c r="A484" s="2">
        <v>483</v>
      </c>
      <c r="B484" s="2" t="s">
        <v>4</v>
      </c>
      <c r="C484" s="2" t="s">
        <v>376</v>
      </c>
      <c r="D484" s="3" t="s">
        <v>375</v>
      </c>
      <c r="E484" s="3" t="s">
        <v>374</v>
      </c>
      <c r="F484" s="2" t="str">
        <f>"0229-22-0016  "</f>
        <v xml:space="preserve">0229-22-0016  </v>
      </c>
      <c r="G484" s="3" t="s">
        <v>28</v>
      </c>
    </row>
    <row r="485" spans="1:7" x14ac:dyDescent="0.4">
      <c r="A485" s="2">
        <v>484</v>
      </c>
      <c r="B485" s="2" t="s">
        <v>4</v>
      </c>
      <c r="C485" s="2" t="s">
        <v>373</v>
      </c>
      <c r="D485" s="3" t="s">
        <v>372</v>
      </c>
      <c r="E485" s="3" t="str">
        <f>"大崎市古川駅南１－８－１"</f>
        <v>大崎市古川駅南１－８－１</v>
      </c>
      <c r="F485" s="2" t="str">
        <f>"0229-91-8741  "</f>
        <v xml:space="preserve">0229-91-8741  </v>
      </c>
      <c r="G485" s="3" t="s">
        <v>75</v>
      </c>
    </row>
    <row r="486" spans="1:7" x14ac:dyDescent="0.4">
      <c r="A486" s="2">
        <v>485</v>
      </c>
      <c r="B486" s="2" t="s">
        <v>4</v>
      </c>
      <c r="C486" s="2" t="s">
        <v>371</v>
      </c>
      <c r="D486" s="3" t="s">
        <v>370</v>
      </c>
      <c r="E486" s="3" t="str">
        <f>"大崎市古川駅南3-36"</f>
        <v>大崎市古川駅南3-36</v>
      </c>
      <c r="F486" s="2" t="str">
        <f>"0229-22-1818  "</f>
        <v xml:space="preserve">0229-22-1818  </v>
      </c>
      <c r="G486" s="3" t="s">
        <v>5</v>
      </c>
    </row>
    <row r="487" spans="1:7" x14ac:dyDescent="0.4">
      <c r="A487" s="2">
        <v>486</v>
      </c>
      <c r="B487" s="2" t="s">
        <v>4</v>
      </c>
      <c r="C487" s="2" t="s">
        <v>369</v>
      </c>
      <c r="D487" s="3" t="s">
        <v>368</v>
      </c>
      <c r="E487" s="3" t="str">
        <f>"大崎市古川江合本町２－４－３１"</f>
        <v>大崎市古川江合本町２－４－３１</v>
      </c>
      <c r="F487" s="2" t="str">
        <f>"0229-22-7220  "</f>
        <v xml:space="preserve">0229-22-7220  </v>
      </c>
      <c r="G487" s="3" t="s">
        <v>5</v>
      </c>
    </row>
    <row r="488" spans="1:7" x14ac:dyDescent="0.4">
      <c r="A488" s="2">
        <v>487</v>
      </c>
      <c r="B488" s="2" t="s">
        <v>4</v>
      </c>
      <c r="C488" s="2" t="s">
        <v>367</v>
      </c>
      <c r="D488" s="3" t="s">
        <v>366</v>
      </c>
      <c r="E488" s="3" t="str">
        <f>"大崎市古川三日町2－3－45"</f>
        <v>大崎市古川三日町2－3－45</v>
      </c>
      <c r="F488" s="2" t="str">
        <f>"0229-22-6656  "</f>
        <v xml:space="preserve">0229-22-6656  </v>
      </c>
      <c r="G488" s="3" t="s">
        <v>365</v>
      </c>
    </row>
    <row r="489" spans="1:7" ht="37.5" x14ac:dyDescent="0.4">
      <c r="A489" s="2">
        <v>488</v>
      </c>
      <c r="B489" s="2" t="s">
        <v>4</v>
      </c>
      <c r="C489" s="2" t="s">
        <v>364</v>
      </c>
      <c r="D489" s="3" t="s">
        <v>363</v>
      </c>
      <c r="E489" s="3" t="s">
        <v>362</v>
      </c>
      <c r="F489" s="2" t="str">
        <f>"0229-36-1050  "</f>
        <v xml:space="preserve">0229-36-1050  </v>
      </c>
      <c r="G489" s="3" t="s">
        <v>0</v>
      </c>
    </row>
    <row r="490" spans="1:7" x14ac:dyDescent="0.4">
      <c r="A490" s="2">
        <v>489</v>
      </c>
      <c r="B490" s="2" t="s">
        <v>4</v>
      </c>
      <c r="C490" s="2" t="s">
        <v>361</v>
      </c>
      <c r="D490" s="3" t="s">
        <v>360</v>
      </c>
      <c r="E490" s="3" t="str">
        <f>"大崎市古川諏訪1-3-37"</f>
        <v>大崎市古川諏訪1-3-37</v>
      </c>
      <c r="F490" s="2" t="str">
        <f>"0229-23-2290  "</f>
        <v xml:space="preserve">0229-23-2290  </v>
      </c>
      <c r="G490" s="3" t="s">
        <v>357</v>
      </c>
    </row>
    <row r="491" spans="1:7" ht="37.5" x14ac:dyDescent="0.4">
      <c r="A491" s="2">
        <v>490</v>
      </c>
      <c r="B491" s="2" t="s">
        <v>4</v>
      </c>
      <c r="C491" s="2" t="s">
        <v>359</v>
      </c>
      <c r="D491" s="3" t="s">
        <v>358</v>
      </c>
      <c r="E491" s="3" t="str">
        <f>"大崎市古川西館三丁目６－６０"</f>
        <v>大崎市古川西館三丁目６－６０</v>
      </c>
      <c r="F491" s="2" t="str">
        <f>"0229-22-1190  "</f>
        <v xml:space="preserve">0229-22-1190  </v>
      </c>
      <c r="G491" s="3" t="s">
        <v>357</v>
      </c>
    </row>
    <row r="492" spans="1:7" x14ac:dyDescent="0.4">
      <c r="A492" s="2">
        <v>491</v>
      </c>
      <c r="B492" s="2" t="s">
        <v>4</v>
      </c>
      <c r="C492" s="2" t="s">
        <v>356</v>
      </c>
      <c r="D492" s="3" t="s">
        <v>353</v>
      </c>
      <c r="E492" s="3" t="str">
        <f>"大崎市古川台町４－３６"</f>
        <v>大崎市古川台町４－３６</v>
      </c>
      <c r="F492" s="2" t="str">
        <f>"0229-22-6111  "</f>
        <v xml:space="preserve">0229-22-6111  </v>
      </c>
      <c r="G492" s="3" t="s">
        <v>5</v>
      </c>
    </row>
    <row r="493" spans="1:7" x14ac:dyDescent="0.4">
      <c r="A493" s="2">
        <v>492</v>
      </c>
      <c r="B493" s="2" t="s">
        <v>4</v>
      </c>
      <c r="C493" s="2" t="s">
        <v>355</v>
      </c>
      <c r="D493" s="3" t="s">
        <v>353</v>
      </c>
      <c r="E493" s="3" t="str">
        <f>"大崎市古川台町４－３６"</f>
        <v>大崎市古川台町４－３６</v>
      </c>
      <c r="F493" s="2" t="str">
        <f>"0229-22-6111  "</f>
        <v xml:space="preserve">0229-22-6111  </v>
      </c>
      <c r="G493" s="3" t="s">
        <v>5</v>
      </c>
    </row>
    <row r="494" spans="1:7" x14ac:dyDescent="0.4">
      <c r="A494" s="2">
        <v>493</v>
      </c>
      <c r="B494" s="2" t="s">
        <v>4</v>
      </c>
      <c r="C494" s="2" t="s">
        <v>354</v>
      </c>
      <c r="D494" s="3" t="s">
        <v>353</v>
      </c>
      <c r="E494" s="3" t="str">
        <f>"大崎市古川台町４－３６"</f>
        <v>大崎市古川台町４－３６</v>
      </c>
      <c r="F494" s="2" t="str">
        <f>"0229-22-6111  "</f>
        <v xml:space="preserve">0229-22-6111  </v>
      </c>
      <c r="G494" s="3" t="s">
        <v>5</v>
      </c>
    </row>
    <row r="495" spans="1:7" ht="37.5" x14ac:dyDescent="0.4">
      <c r="A495" s="2">
        <v>494</v>
      </c>
      <c r="B495" s="2" t="s">
        <v>4</v>
      </c>
      <c r="C495" s="2" t="s">
        <v>352</v>
      </c>
      <c r="D495" s="3" t="s">
        <v>349</v>
      </c>
      <c r="E495" s="3" t="str">
        <f>"大崎市古川大宮一丁目1-79"</f>
        <v>大崎市古川大宮一丁目1-79</v>
      </c>
      <c r="F495" s="2" t="str">
        <f>"0229-23-5677  "</f>
        <v xml:space="preserve">0229-23-5677  </v>
      </c>
      <c r="G495" s="3" t="s">
        <v>351</v>
      </c>
    </row>
    <row r="496" spans="1:7" x14ac:dyDescent="0.4">
      <c r="A496" s="2">
        <v>495</v>
      </c>
      <c r="B496" s="2" t="s">
        <v>4</v>
      </c>
      <c r="C496" s="2" t="s">
        <v>350</v>
      </c>
      <c r="D496" s="3" t="s">
        <v>349</v>
      </c>
      <c r="E496" s="3" t="str">
        <f>"大崎市古川大宮一丁目１－８０"</f>
        <v>大崎市古川大宮一丁目１－８０</v>
      </c>
      <c r="F496" s="2" t="str">
        <f>"0229-23-5677  "</f>
        <v xml:space="preserve">0229-23-5677  </v>
      </c>
      <c r="G496" s="3" t="s">
        <v>120</v>
      </c>
    </row>
    <row r="497" spans="1:7" x14ac:dyDescent="0.4">
      <c r="A497" s="2">
        <v>496</v>
      </c>
      <c r="B497" s="2" t="s">
        <v>4</v>
      </c>
      <c r="C497" s="2" t="s">
        <v>348</v>
      </c>
      <c r="D497" s="3" t="s">
        <v>347</v>
      </c>
      <c r="E497" s="3" t="str">
        <f>"大崎市古川中島町２－３９"</f>
        <v>大崎市古川中島町２－３９</v>
      </c>
      <c r="F497" s="2" t="str">
        <f>"0229-21-0087  "</f>
        <v xml:space="preserve">0229-21-0087  </v>
      </c>
      <c r="G497" s="3" t="s">
        <v>18</v>
      </c>
    </row>
    <row r="498" spans="1:7" x14ac:dyDescent="0.4">
      <c r="A498" s="2">
        <v>497</v>
      </c>
      <c r="B498" s="2" t="s">
        <v>4</v>
      </c>
      <c r="C498" s="2" t="s">
        <v>346</v>
      </c>
      <c r="D498" s="3" t="s">
        <v>345</v>
      </c>
      <c r="E498" s="3" t="s">
        <v>344</v>
      </c>
      <c r="F498" s="2" t="str">
        <f>"0229-22-0791  "</f>
        <v xml:space="preserve">0229-22-0791  </v>
      </c>
      <c r="G498" s="3" t="s">
        <v>79</v>
      </c>
    </row>
    <row r="499" spans="1:7" x14ac:dyDescent="0.4">
      <c r="A499" s="2">
        <v>498</v>
      </c>
      <c r="B499" s="2" t="s">
        <v>4</v>
      </c>
      <c r="C499" s="2" t="s">
        <v>343</v>
      </c>
      <c r="D499" s="3" t="s">
        <v>341</v>
      </c>
      <c r="E499" s="3" t="str">
        <f>"大崎市古川南町３－１－３－５"</f>
        <v>大崎市古川南町３－１－３－５</v>
      </c>
      <c r="F499" s="2" t="str">
        <f>"0229-23-8181  "</f>
        <v xml:space="preserve">0229-23-8181  </v>
      </c>
      <c r="G499" s="3" t="s">
        <v>28</v>
      </c>
    </row>
    <row r="500" spans="1:7" x14ac:dyDescent="0.4">
      <c r="A500" s="2">
        <v>499</v>
      </c>
      <c r="B500" s="2" t="s">
        <v>4</v>
      </c>
      <c r="C500" s="2" t="s">
        <v>342</v>
      </c>
      <c r="D500" s="3" t="s">
        <v>341</v>
      </c>
      <c r="E500" s="3" t="str">
        <f>"大崎市古川南町３－１－３－５"</f>
        <v>大崎市古川南町３－１－３－５</v>
      </c>
      <c r="F500" s="2" t="str">
        <f>"0229-23-8181  "</f>
        <v xml:space="preserve">0229-23-8181  </v>
      </c>
      <c r="G500" s="3" t="s">
        <v>28</v>
      </c>
    </row>
    <row r="501" spans="1:7" x14ac:dyDescent="0.4">
      <c r="A501" s="2">
        <v>500</v>
      </c>
      <c r="B501" s="2" t="s">
        <v>4</v>
      </c>
      <c r="C501" s="2" t="s">
        <v>340</v>
      </c>
      <c r="D501" s="3" t="s">
        <v>290</v>
      </c>
      <c r="E501" s="3" t="s">
        <v>339</v>
      </c>
      <c r="F501" s="2" t="str">
        <f t="shared" ref="F501:F540" si="18">"0229-23-3311  "</f>
        <v xml:space="preserve">0229-23-3311  </v>
      </c>
      <c r="G501" s="3" t="s">
        <v>53</v>
      </c>
    </row>
    <row r="502" spans="1:7" x14ac:dyDescent="0.4">
      <c r="A502" s="2">
        <v>501</v>
      </c>
      <c r="B502" s="2" t="s">
        <v>4</v>
      </c>
      <c r="C502" s="2" t="s">
        <v>338</v>
      </c>
      <c r="D502" s="3" t="s">
        <v>290</v>
      </c>
      <c r="E502" s="3" t="str">
        <f t="shared" ref="E502:E510" si="19">"大崎市古川穂波３－８－１"</f>
        <v>大崎市古川穂波３－８－１</v>
      </c>
      <c r="F502" s="2" t="str">
        <f t="shared" si="18"/>
        <v xml:space="preserve">0229-23-3311  </v>
      </c>
      <c r="G502" s="3" t="s">
        <v>337</v>
      </c>
    </row>
    <row r="503" spans="1:7" x14ac:dyDescent="0.4">
      <c r="A503" s="2">
        <v>502</v>
      </c>
      <c r="B503" s="2" t="s">
        <v>4</v>
      </c>
      <c r="C503" s="2" t="s">
        <v>336</v>
      </c>
      <c r="D503" s="3" t="s">
        <v>290</v>
      </c>
      <c r="E503" s="3" t="str">
        <f t="shared" si="19"/>
        <v>大崎市古川穂波３－８－１</v>
      </c>
      <c r="F503" s="2" t="str">
        <f t="shared" si="18"/>
        <v xml:space="preserve">0229-23-3311  </v>
      </c>
      <c r="G503" s="3" t="s">
        <v>53</v>
      </c>
    </row>
    <row r="504" spans="1:7" x14ac:dyDescent="0.4">
      <c r="A504" s="2">
        <v>503</v>
      </c>
      <c r="B504" s="2" t="s">
        <v>4</v>
      </c>
      <c r="C504" s="2" t="s">
        <v>335</v>
      </c>
      <c r="D504" s="3" t="s">
        <v>290</v>
      </c>
      <c r="E504" s="3" t="str">
        <f t="shared" si="19"/>
        <v>大崎市古川穂波３－８－１</v>
      </c>
      <c r="F504" s="2" t="str">
        <f t="shared" si="18"/>
        <v xml:space="preserve">0229-23-3311  </v>
      </c>
      <c r="G504" s="3" t="s">
        <v>88</v>
      </c>
    </row>
    <row r="505" spans="1:7" x14ac:dyDescent="0.4">
      <c r="A505" s="2">
        <v>504</v>
      </c>
      <c r="B505" s="2" t="s">
        <v>4</v>
      </c>
      <c r="C505" s="2" t="s">
        <v>334</v>
      </c>
      <c r="D505" s="3" t="s">
        <v>290</v>
      </c>
      <c r="E505" s="3" t="str">
        <f t="shared" si="19"/>
        <v>大崎市古川穂波３－８－１</v>
      </c>
      <c r="F505" s="2" t="str">
        <f t="shared" si="18"/>
        <v xml:space="preserve">0229-23-3311  </v>
      </c>
      <c r="G505" s="3" t="s">
        <v>333</v>
      </c>
    </row>
    <row r="506" spans="1:7" x14ac:dyDescent="0.4">
      <c r="A506" s="2">
        <v>505</v>
      </c>
      <c r="B506" s="2" t="s">
        <v>4</v>
      </c>
      <c r="C506" s="2" t="s">
        <v>332</v>
      </c>
      <c r="D506" s="3" t="s">
        <v>290</v>
      </c>
      <c r="E506" s="3" t="str">
        <f t="shared" si="19"/>
        <v>大崎市古川穂波３－８－１</v>
      </c>
      <c r="F506" s="2" t="str">
        <f t="shared" si="18"/>
        <v xml:space="preserve">0229-23-3311  </v>
      </c>
      <c r="G506" s="3" t="s">
        <v>308</v>
      </c>
    </row>
    <row r="507" spans="1:7" x14ac:dyDescent="0.4">
      <c r="A507" s="2">
        <v>506</v>
      </c>
      <c r="B507" s="2" t="s">
        <v>4</v>
      </c>
      <c r="C507" s="2" t="s">
        <v>331</v>
      </c>
      <c r="D507" s="3" t="s">
        <v>290</v>
      </c>
      <c r="E507" s="3" t="str">
        <f t="shared" si="19"/>
        <v>大崎市古川穂波３－８－１</v>
      </c>
      <c r="F507" s="2" t="str">
        <f t="shared" si="18"/>
        <v xml:space="preserve">0229-23-3311  </v>
      </c>
      <c r="G507" s="3" t="s">
        <v>288</v>
      </c>
    </row>
    <row r="508" spans="1:7" x14ac:dyDescent="0.4">
      <c r="A508" s="2">
        <v>507</v>
      </c>
      <c r="B508" s="2" t="s">
        <v>4</v>
      </c>
      <c r="C508" s="2" t="s">
        <v>330</v>
      </c>
      <c r="D508" s="3" t="s">
        <v>290</v>
      </c>
      <c r="E508" s="3" t="str">
        <f t="shared" si="19"/>
        <v>大崎市古川穂波３－８－１</v>
      </c>
      <c r="F508" s="2" t="str">
        <f t="shared" si="18"/>
        <v xml:space="preserve">0229-23-3311  </v>
      </c>
      <c r="G508" s="3" t="s">
        <v>97</v>
      </c>
    </row>
    <row r="509" spans="1:7" x14ac:dyDescent="0.4">
      <c r="A509" s="2">
        <v>508</v>
      </c>
      <c r="B509" s="2" t="s">
        <v>4</v>
      </c>
      <c r="C509" s="2" t="s">
        <v>329</v>
      </c>
      <c r="D509" s="3" t="s">
        <v>290</v>
      </c>
      <c r="E509" s="3" t="str">
        <f t="shared" si="19"/>
        <v>大崎市古川穂波３－８－１</v>
      </c>
      <c r="F509" s="2" t="str">
        <f t="shared" si="18"/>
        <v xml:space="preserve">0229-23-3311  </v>
      </c>
      <c r="G509" s="3" t="s">
        <v>97</v>
      </c>
    </row>
    <row r="510" spans="1:7" x14ac:dyDescent="0.4">
      <c r="A510" s="2">
        <v>509</v>
      </c>
      <c r="B510" s="2" t="s">
        <v>4</v>
      </c>
      <c r="C510" s="2" t="s">
        <v>328</v>
      </c>
      <c r="D510" s="3" t="s">
        <v>290</v>
      </c>
      <c r="E510" s="3" t="str">
        <f t="shared" si="19"/>
        <v>大崎市古川穂波３－８－１</v>
      </c>
      <c r="F510" s="2" t="str">
        <f t="shared" si="18"/>
        <v xml:space="preserve">0229-23-3311  </v>
      </c>
      <c r="G510" s="3" t="s">
        <v>53</v>
      </c>
    </row>
    <row r="511" spans="1:7" x14ac:dyDescent="0.4">
      <c r="A511" s="2">
        <v>510</v>
      </c>
      <c r="B511" s="2" t="s">
        <v>4</v>
      </c>
      <c r="C511" s="2" t="s">
        <v>327</v>
      </c>
      <c r="D511" s="3" t="s">
        <v>290</v>
      </c>
      <c r="E511" s="3" t="str">
        <f>"大崎市古川穂波３-８-１"</f>
        <v>大崎市古川穂波３-８-１</v>
      </c>
      <c r="F511" s="2" t="str">
        <f t="shared" si="18"/>
        <v xml:space="preserve">0229-23-3311  </v>
      </c>
      <c r="G511" s="3" t="s">
        <v>180</v>
      </c>
    </row>
    <row r="512" spans="1:7" x14ac:dyDescent="0.4">
      <c r="A512" s="2">
        <v>511</v>
      </c>
      <c r="B512" s="2" t="s">
        <v>4</v>
      </c>
      <c r="C512" s="2" t="s">
        <v>326</v>
      </c>
      <c r="D512" s="3" t="s">
        <v>290</v>
      </c>
      <c r="E512" s="3" t="str">
        <f>"大崎市古川穂波３－８－１"</f>
        <v>大崎市古川穂波３－８－１</v>
      </c>
      <c r="F512" s="2" t="str">
        <f t="shared" si="18"/>
        <v xml:space="preserve">0229-23-3311  </v>
      </c>
      <c r="G512" s="3" t="s">
        <v>5</v>
      </c>
    </row>
    <row r="513" spans="1:7" x14ac:dyDescent="0.4">
      <c r="A513" s="2">
        <v>512</v>
      </c>
      <c r="B513" s="2" t="s">
        <v>4</v>
      </c>
      <c r="C513" s="2" t="s">
        <v>325</v>
      </c>
      <c r="D513" s="3" t="s">
        <v>290</v>
      </c>
      <c r="E513" s="3" t="str">
        <f>"大崎市古川穂波３－８－１"</f>
        <v>大崎市古川穂波３－８－１</v>
      </c>
      <c r="F513" s="2" t="str">
        <f t="shared" si="18"/>
        <v xml:space="preserve">0229-23-3311  </v>
      </c>
      <c r="G513" s="3" t="s">
        <v>82</v>
      </c>
    </row>
    <row r="514" spans="1:7" x14ac:dyDescent="0.4">
      <c r="A514" s="2">
        <v>513</v>
      </c>
      <c r="B514" s="2" t="s">
        <v>4</v>
      </c>
      <c r="C514" s="2" t="s">
        <v>324</v>
      </c>
      <c r="D514" s="3" t="s">
        <v>290</v>
      </c>
      <c r="E514" s="3" t="str">
        <f>"大崎市古川穂波３－８－１"</f>
        <v>大崎市古川穂波３－８－１</v>
      </c>
      <c r="F514" s="2" t="str">
        <f t="shared" si="18"/>
        <v xml:space="preserve">0229-23-3311  </v>
      </c>
      <c r="G514" s="3" t="s">
        <v>323</v>
      </c>
    </row>
    <row r="515" spans="1:7" x14ac:dyDescent="0.4">
      <c r="A515" s="2">
        <v>514</v>
      </c>
      <c r="B515" s="2" t="s">
        <v>4</v>
      </c>
      <c r="C515" s="2" t="s">
        <v>322</v>
      </c>
      <c r="D515" s="3" t="s">
        <v>290</v>
      </c>
      <c r="E515" s="3" t="str">
        <f>"大崎市古川穂波３－８－１"</f>
        <v>大崎市古川穂波３－８－１</v>
      </c>
      <c r="F515" s="2" t="str">
        <f t="shared" si="18"/>
        <v xml:space="preserve">0229-23-3311  </v>
      </c>
      <c r="G515" s="3" t="s">
        <v>180</v>
      </c>
    </row>
    <row r="516" spans="1:7" x14ac:dyDescent="0.4">
      <c r="A516" s="2">
        <v>515</v>
      </c>
      <c r="B516" s="2" t="s">
        <v>4</v>
      </c>
      <c r="C516" s="2" t="s">
        <v>321</v>
      </c>
      <c r="D516" s="3" t="s">
        <v>290</v>
      </c>
      <c r="E516" s="3" t="str">
        <f>"大崎市古川穂波３－８－１"</f>
        <v>大崎市古川穂波３－８－１</v>
      </c>
      <c r="F516" s="2" t="str">
        <f t="shared" si="18"/>
        <v xml:space="preserve">0229-23-3311  </v>
      </c>
      <c r="G516" s="3" t="s">
        <v>227</v>
      </c>
    </row>
    <row r="517" spans="1:7" x14ac:dyDescent="0.4">
      <c r="A517" s="2">
        <v>516</v>
      </c>
      <c r="B517" s="2" t="s">
        <v>4</v>
      </c>
      <c r="C517" s="2" t="s">
        <v>320</v>
      </c>
      <c r="D517" s="3" t="s">
        <v>290</v>
      </c>
      <c r="E517" s="3" t="str">
        <f>"大崎市古川穂波３-８-１"</f>
        <v>大崎市古川穂波３-８-１</v>
      </c>
      <c r="F517" s="2" t="str">
        <f t="shared" si="18"/>
        <v xml:space="preserve">0229-23-3311  </v>
      </c>
      <c r="G517" s="3" t="s">
        <v>75</v>
      </c>
    </row>
    <row r="518" spans="1:7" x14ac:dyDescent="0.4">
      <c r="A518" s="2">
        <v>517</v>
      </c>
      <c r="B518" s="2" t="s">
        <v>4</v>
      </c>
      <c r="C518" s="2" t="s">
        <v>319</v>
      </c>
      <c r="D518" s="3" t="s">
        <v>290</v>
      </c>
      <c r="E518" s="3" t="str">
        <f>"大崎市古川穂波３－８－１"</f>
        <v>大崎市古川穂波３－８－１</v>
      </c>
      <c r="F518" s="2" t="str">
        <f t="shared" si="18"/>
        <v xml:space="preserve">0229-23-3311  </v>
      </c>
      <c r="G518" s="3" t="s">
        <v>97</v>
      </c>
    </row>
    <row r="519" spans="1:7" x14ac:dyDescent="0.4">
      <c r="A519" s="2">
        <v>518</v>
      </c>
      <c r="B519" s="2" t="s">
        <v>4</v>
      </c>
      <c r="C519" s="2" t="s">
        <v>318</v>
      </c>
      <c r="D519" s="3" t="s">
        <v>290</v>
      </c>
      <c r="E519" s="3" t="str">
        <f>"大崎市古川穂波３－８－１"</f>
        <v>大崎市古川穂波３－８－１</v>
      </c>
      <c r="F519" s="2" t="str">
        <f t="shared" si="18"/>
        <v xml:space="preserve">0229-23-3311  </v>
      </c>
      <c r="G519" s="3" t="s">
        <v>22</v>
      </c>
    </row>
    <row r="520" spans="1:7" x14ac:dyDescent="0.4">
      <c r="A520" s="2">
        <v>519</v>
      </c>
      <c r="B520" s="2" t="s">
        <v>4</v>
      </c>
      <c r="C520" s="2" t="s">
        <v>317</v>
      </c>
      <c r="D520" s="3" t="s">
        <v>290</v>
      </c>
      <c r="E520" s="3" t="str">
        <f>"大崎市古川穂波3－8－1"</f>
        <v>大崎市古川穂波3－8－1</v>
      </c>
      <c r="F520" s="2" t="str">
        <f t="shared" si="18"/>
        <v xml:space="preserve">0229-23-3311  </v>
      </c>
      <c r="G520" s="3" t="s">
        <v>308</v>
      </c>
    </row>
    <row r="521" spans="1:7" x14ac:dyDescent="0.4">
      <c r="A521" s="2">
        <v>520</v>
      </c>
      <c r="B521" s="2" t="s">
        <v>4</v>
      </c>
      <c r="C521" s="2" t="s">
        <v>316</v>
      </c>
      <c r="D521" s="3" t="s">
        <v>290</v>
      </c>
      <c r="E521" s="3" t="str">
        <f>"大崎市古川穂波3－8－1"</f>
        <v>大崎市古川穂波3－8－1</v>
      </c>
      <c r="F521" s="2" t="str">
        <f t="shared" si="18"/>
        <v xml:space="preserve">0229-23-3311  </v>
      </c>
      <c r="G521" s="3" t="s">
        <v>53</v>
      </c>
    </row>
    <row r="522" spans="1:7" x14ac:dyDescent="0.4">
      <c r="A522" s="2">
        <v>521</v>
      </c>
      <c r="B522" s="2" t="s">
        <v>4</v>
      </c>
      <c r="C522" s="2" t="s">
        <v>315</v>
      </c>
      <c r="D522" s="3" t="s">
        <v>290</v>
      </c>
      <c r="E522" s="3" t="str">
        <f t="shared" ref="E522:E532" si="20">"大崎市古川穂波３－８－１"</f>
        <v>大崎市古川穂波３－８－１</v>
      </c>
      <c r="F522" s="2" t="str">
        <f t="shared" si="18"/>
        <v xml:space="preserve">0229-23-3311  </v>
      </c>
      <c r="G522" s="3" t="s">
        <v>86</v>
      </c>
    </row>
    <row r="523" spans="1:7" x14ac:dyDescent="0.4">
      <c r="A523" s="2">
        <v>522</v>
      </c>
      <c r="B523" s="2" t="s">
        <v>4</v>
      </c>
      <c r="C523" s="2" t="s">
        <v>314</v>
      </c>
      <c r="D523" s="3" t="s">
        <v>290</v>
      </c>
      <c r="E523" s="3" t="str">
        <f t="shared" si="20"/>
        <v>大崎市古川穂波３－８－１</v>
      </c>
      <c r="F523" s="2" t="str">
        <f t="shared" si="18"/>
        <v xml:space="preserve">0229-23-3311  </v>
      </c>
      <c r="G523" s="3" t="s">
        <v>313</v>
      </c>
    </row>
    <row r="524" spans="1:7" x14ac:dyDescent="0.4">
      <c r="A524" s="2">
        <v>523</v>
      </c>
      <c r="B524" s="2" t="s">
        <v>4</v>
      </c>
      <c r="C524" s="2" t="s">
        <v>312</v>
      </c>
      <c r="D524" s="3" t="s">
        <v>290</v>
      </c>
      <c r="E524" s="3" t="str">
        <f t="shared" si="20"/>
        <v>大崎市古川穂波３－８－１</v>
      </c>
      <c r="F524" s="2" t="str">
        <f t="shared" si="18"/>
        <v xml:space="preserve">0229-23-3311  </v>
      </c>
      <c r="G524" s="3" t="s">
        <v>120</v>
      </c>
    </row>
    <row r="525" spans="1:7" x14ac:dyDescent="0.4">
      <c r="A525" s="2">
        <v>524</v>
      </c>
      <c r="B525" s="2" t="s">
        <v>4</v>
      </c>
      <c r="C525" s="2" t="s">
        <v>311</v>
      </c>
      <c r="D525" s="3" t="s">
        <v>290</v>
      </c>
      <c r="E525" s="3" t="str">
        <f t="shared" si="20"/>
        <v>大崎市古川穂波３－８－１</v>
      </c>
      <c r="F525" s="2" t="str">
        <f t="shared" si="18"/>
        <v xml:space="preserve">0229-23-3311  </v>
      </c>
      <c r="G525" s="3" t="s">
        <v>294</v>
      </c>
    </row>
    <row r="526" spans="1:7" x14ac:dyDescent="0.4">
      <c r="A526" s="2">
        <v>525</v>
      </c>
      <c r="B526" s="2" t="s">
        <v>4</v>
      </c>
      <c r="C526" s="2" t="s">
        <v>310</v>
      </c>
      <c r="D526" s="3" t="s">
        <v>290</v>
      </c>
      <c r="E526" s="3" t="str">
        <f t="shared" si="20"/>
        <v>大崎市古川穂波３－８－１</v>
      </c>
      <c r="F526" s="2" t="str">
        <f t="shared" si="18"/>
        <v xml:space="preserve">0229-23-3311  </v>
      </c>
      <c r="G526" s="3" t="s">
        <v>82</v>
      </c>
    </row>
    <row r="527" spans="1:7" x14ac:dyDescent="0.4">
      <c r="A527" s="2">
        <v>526</v>
      </c>
      <c r="B527" s="2" t="s">
        <v>4</v>
      </c>
      <c r="C527" s="2" t="s">
        <v>309</v>
      </c>
      <c r="D527" s="3" t="s">
        <v>290</v>
      </c>
      <c r="E527" s="3" t="str">
        <f t="shared" si="20"/>
        <v>大崎市古川穂波３－８－１</v>
      </c>
      <c r="F527" s="2" t="str">
        <f t="shared" si="18"/>
        <v xml:space="preserve">0229-23-3311  </v>
      </c>
      <c r="G527" s="3" t="s">
        <v>308</v>
      </c>
    </row>
    <row r="528" spans="1:7" x14ac:dyDescent="0.4">
      <c r="A528" s="2">
        <v>527</v>
      </c>
      <c r="B528" s="2" t="s">
        <v>4</v>
      </c>
      <c r="C528" s="2" t="s">
        <v>307</v>
      </c>
      <c r="D528" s="3" t="s">
        <v>290</v>
      </c>
      <c r="E528" s="3" t="str">
        <f t="shared" si="20"/>
        <v>大崎市古川穂波３－８－１</v>
      </c>
      <c r="F528" s="2" t="str">
        <f t="shared" si="18"/>
        <v xml:space="preserve">0229-23-3311  </v>
      </c>
      <c r="G528" s="3" t="s">
        <v>171</v>
      </c>
    </row>
    <row r="529" spans="1:7" x14ac:dyDescent="0.4">
      <c r="A529" s="2">
        <v>528</v>
      </c>
      <c r="B529" s="2" t="s">
        <v>4</v>
      </c>
      <c r="C529" s="2" t="s">
        <v>306</v>
      </c>
      <c r="D529" s="3" t="s">
        <v>290</v>
      </c>
      <c r="E529" s="3" t="str">
        <f t="shared" si="20"/>
        <v>大崎市古川穂波３－８－１</v>
      </c>
      <c r="F529" s="2" t="str">
        <f t="shared" si="18"/>
        <v xml:space="preserve">0229-23-3311  </v>
      </c>
      <c r="G529" s="3" t="s">
        <v>53</v>
      </c>
    </row>
    <row r="530" spans="1:7" x14ac:dyDescent="0.4">
      <c r="A530" s="2">
        <v>529</v>
      </c>
      <c r="B530" s="2" t="s">
        <v>4</v>
      </c>
      <c r="C530" s="2" t="s">
        <v>305</v>
      </c>
      <c r="D530" s="3" t="s">
        <v>290</v>
      </c>
      <c r="E530" s="3" t="str">
        <f t="shared" si="20"/>
        <v>大崎市古川穂波３－８－１</v>
      </c>
      <c r="F530" s="2" t="str">
        <f t="shared" si="18"/>
        <v xml:space="preserve">0229-23-3311  </v>
      </c>
      <c r="G530" s="3" t="s">
        <v>86</v>
      </c>
    </row>
    <row r="531" spans="1:7" x14ac:dyDescent="0.4">
      <c r="A531" s="2">
        <v>530</v>
      </c>
      <c r="B531" s="2" t="s">
        <v>4</v>
      </c>
      <c r="C531" s="2" t="s">
        <v>304</v>
      </c>
      <c r="D531" s="3" t="s">
        <v>290</v>
      </c>
      <c r="E531" s="3" t="str">
        <f t="shared" si="20"/>
        <v>大崎市古川穂波３－８－１</v>
      </c>
      <c r="F531" s="2" t="str">
        <f t="shared" si="18"/>
        <v xml:space="preserve">0229-23-3311  </v>
      </c>
      <c r="G531" s="3" t="s">
        <v>303</v>
      </c>
    </row>
    <row r="532" spans="1:7" x14ac:dyDescent="0.4">
      <c r="A532" s="2">
        <v>531</v>
      </c>
      <c r="B532" s="2" t="s">
        <v>4</v>
      </c>
      <c r="C532" s="2" t="s">
        <v>302</v>
      </c>
      <c r="D532" s="3" t="s">
        <v>290</v>
      </c>
      <c r="E532" s="3" t="str">
        <f t="shared" si="20"/>
        <v>大崎市古川穂波３－８－１</v>
      </c>
      <c r="F532" s="2" t="str">
        <f t="shared" si="18"/>
        <v xml:space="preserve">0229-23-3311  </v>
      </c>
      <c r="G532" s="3" t="s">
        <v>227</v>
      </c>
    </row>
    <row r="533" spans="1:7" x14ac:dyDescent="0.4">
      <c r="A533" s="2">
        <v>532</v>
      </c>
      <c r="B533" s="2" t="s">
        <v>4</v>
      </c>
      <c r="C533" s="2" t="s">
        <v>301</v>
      </c>
      <c r="D533" s="3" t="s">
        <v>290</v>
      </c>
      <c r="E533" s="3" t="s">
        <v>292</v>
      </c>
      <c r="F533" s="2" t="str">
        <f t="shared" si="18"/>
        <v xml:space="preserve">0229-23-3311  </v>
      </c>
      <c r="G533" s="3" t="s">
        <v>28</v>
      </c>
    </row>
    <row r="534" spans="1:7" x14ac:dyDescent="0.4">
      <c r="A534" s="2">
        <v>533</v>
      </c>
      <c r="B534" s="2" t="s">
        <v>4</v>
      </c>
      <c r="C534" s="2" t="s">
        <v>300</v>
      </c>
      <c r="D534" s="3" t="s">
        <v>290</v>
      </c>
      <c r="E534" s="3" t="s">
        <v>292</v>
      </c>
      <c r="F534" s="2" t="str">
        <f t="shared" si="18"/>
        <v xml:space="preserve">0229-23-3311  </v>
      </c>
      <c r="G534" s="3" t="s">
        <v>75</v>
      </c>
    </row>
    <row r="535" spans="1:7" x14ac:dyDescent="0.4">
      <c r="A535" s="2">
        <v>534</v>
      </c>
      <c r="B535" s="2" t="s">
        <v>4</v>
      </c>
      <c r="C535" s="2" t="s">
        <v>299</v>
      </c>
      <c r="D535" s="3" t="s">
        <v>290</v>
      </c>
      <c r="E535" s="3" t="s">
        <v>292</v>
      </c>
      <c r="F535" s="2" t="str">
        <f t="shared" si="18"/>
        <v xml:space="preserve">0229-23-3311  </v>
      </c>
      <c r="G535" s="3" t="s">
        <v>298</v>
      </c>
    </row>
    <row r="536" spans="1:7" x14ac:dyDescent="0.4">
      <c r="A536" s="2">
        <v>535</v>
      </c>
      <c r="B536" s="2" t="s">
        <v>4</v>
      </c>
      <c r="C536" s="2" t="s">
        <v>297</v>
      </c>
      <c r="D536" s="3" t="s">
        <v>290</v>
      </c>
      <c r="E536" s="3" t="s">
        <v>292</v>
      </c>
      <c r="F536" s="2" t="str">
        <f t="shared" si="18"/>
        <v xml:space="preserve">0229-23-3311  </v>
      </c>
      <c r="G536" s="3" t="s">
        <v>120</v>
      </c>
    </row>
    <row r="537" spans="1:7" x14ac:dyDescent="0.4">
      <c r="A537" s="2">
        <v>536</v>
      </c>
      <c r="B537" s="2" t="s">
        <v>4</v>
      </c>
      <c r="C537" s="2" t="s">
        <v>296</v>
      </c>
      <c r="D537" s="3" t="s">
        <v>290</v>
      </c>
      <c r="E537" s="3" t="s">
        <v>292</v>
      </c>
      <c r="F537" s="2" t="str">
        <f t="shared" si="18"/>
        <v xml:space="preserve">0229-23-3311  </v>
      </c>
      <c r="G537" s="3" t="s">
        <v>82</v>
      </c>
    </row>
    <row r="538" spans="1:7" x14ac:dyDescent="0.4">
      <c r="A538" s="2">
        <v>537</v>
      </c>
      <c r="B538" s="2" t="s">
        <v>4</v>
      </c>
      <c r="C538" s="2" t="s">
        <v>295</v>
      </c>
      <c r="D538" s="3" t="s">
        <v>290</v>
      </c>
      <c r="E538" s="3" t="s">
        <v>292</v>
      </c>
      <c r="F538" s="2" t="str">
        <f t="shared" si="18"/>
        <v xml:space="preserve">0229-23-3311  </v>
      </c>
      <c r="G538" s="3" t="s">
        <v>294</v>
      </c>
    </row>
    <row r="539" spans="1:7" x14ac:dyDescent="0.4">
      <c r="A539" s="2">
        <v>538</v>
      </c>
      <c r="B539" s="2" t="s">
        <v>4</v>
      </c>
      <c r="C539" s="2" t="s">
        <v>293</v>
      </c>
      <c r="D539" s="3" t="s">
        <v>290</v>
      </c>
      <c r="E539" s="3" t="s">
        <v>292</v>
      </c>
      <c r="F539" s="2" t="str">
        <f t="shared" si="18"/>
        <v xml:space="preserve">0229-23-3311  </v>
      </c>
      <c r="G539" s="3" t="s">
        <v>9</v>
      </c>
    </row>
    <row r="540" spans="1:7" x14ac:dyDescent="0.4">
      <c r="A540" s="2">
        <v>539</v>
      </c>
      <c r="B540" s="2" t="s">
        <v>4</v>
      </c>
      <c r="C540" s="2" t="s">
        <v>291</v>
      </c>
      <c r="D540" s="3" t="s">
        <v>290</v>
      </c>
      <c r="E540" s="3" t="s">
        <v>289</v>
      </c>
      <c r="F540" s="2" t="str">
        <f t="shared" si="18"/>
        <v xml:space="preserve">0229-23-3311  </v>
      </c>
      <c r="G540" s="3" t="s">
        <v>288</v>
      </c>
    </row>
    <row r="541" spans="1:7" x14ac:dyDescent="0.4">
      <c r="A541" s="2">
        <v>540</v>
      </c>
      <c r="B541" s="2" t="s">
        <v>4</v>
      </c>
      <c r="C541" s="2" t="s">
        <v>287</v>
      </c>
      <c r="D541" s="3" t="s">
        <v>286</v>
      </c>
      <c r="E541" s="3" t="str">
        <f>"大崎市古川北町１－１－３"</f>
        <v>大崎市古川北町１－１－３</v>
      </c>
      <c r="F541" s="2" t="str">
        <f>"0229-25-5151  "</f>
        <v xml:space="preserve">0229-25-5151  </v>
      </c>
      <c r="G541" s="3" t="s">
        <v>79</v>
      </c>
    </row>
    <row r="542" spans="1:7" ht="37.5" x14ac:dyDescent="0.4">
      <c r="A542" s="2">
        <v>541</v>
      </c>
      <c r="B542" s="2" t="s">
        <v>4</v>
      </c>
      <c r="C542" s="2" t="s">
        <v>285</v>
      </c>
      <c r="D542" s="3" t="s">
        <v>284</v>
      </c>
      <c r="E542" s="3" t="str">
        <f>"大崎市古川李埣１丁目１－２３"</f>
        <v>大崎市古川李埣１丁目１－２３</v>
      </c>
      <c r="F542" s="2" t="str">
        <f>"0229-24-3770  "</f>
        <v xml:space="preserve">0229-24-3770  </v>
      </c>
      <c r="G542" s="3" t="s">
        <v>283</v>
      </c>
    </row>
    <row r="543" spans="1:7" x14ac:dyDescent="0.4">
      <c r="A543" s="2">
        <v>542</v>
      </c>
      <c r="B543" s="2" t="s">
        <v>4</v>
      </c>
      <c r="C543" s="2" t="s">
        <v>282</v>
      </c>
      <c r="D543" s="3" t="s">
        <v>281</v>
      </c>
      <c r="E543" s="3" t="str">
        <f>"大崎市鹿島台木間塚小谷地４６３－６"</f>
        <v>大崎市鹿島台木間塚小谷地４６３－６</v>
      </c>
      <c r="F543" s="2" t="str">
        <f>"0229-29-9002  "</f>
        <v xml:space="preserve">0229-29-9002  </v>
      </c>
      <c r="G543" s="3" t="s">
        <v>280</v>
      </c>
    </row>
    <row r="544" spans="1:7" x14ac:dyDescent="0.4">
      <c r="A544" s="2">
        <v>543</v>
      </c>
      <c r="B544" s="2" t="s">
        <v>4</v>
      </c>
      <c r="C544" s="2" t="s">
        <v>279</v>
      </c>
      <c r="D544" s="3" t="s">
        <v>278</v>
      </c>
      <c r="E544" s="3" t="s">
        <v>277</v>
      </c>
      <c r="F544" s="2" t="str">
        <f>"0229-39-1233  "</f>
        <v xml:space="preserve">0229-39-1233  </v>
      </c>
      <c r="G544" s="3" t="s">
        <v>18</v>
      </c>
    </row>
    <row r="545" spans="1:7" ht="37.5" x14ac:dyDescent="0.4">
      <c r="A545" s="2">
        <v>544</v>
      </c>
      <c r="B545" s="2" t="s">
        <v>4</v>
      </c>
      <c r="C545" s="2" t="s">
        <v>276</v>
      </c>
      <c r="D545" s="3" t="s">
        <v>274</v>
      </c>
      <c r="E545" s="3" t="str">
        <f>"登米市中田町石森字加賀野２丁目２５－２４"</f>
        <v>登米市中田町石森字加賀野２丁目２５－２４</v>
      </c>
      <c r="F545" s="2" t="str">
        <f>"0220-35-1161  "</f>
        <v xml:space="preserve">0220-35-1161  </v>
      </c>
      <c r="G545" s="3" t="s">
        <v>273</v>
      </c>
    </row>
    <row r="546" spans="1:7" ht="37.5" x14ac:dyDescent="0.4">
      <c r="A546" s="2">
        <v>545</v>
      </c>
      <c r="B546" s="2" t="s">
        <v>4</v>
      </c>
      <c r="C546" s="2" t="s">
        <v>275</v>
      </c>
      <c r="D546" s="3" t="s">
        <v>274</v>
      </c>
      <c r="E546" s="3" t="str">
        <f>"登米市中田町石森字加賀野２丁目２５－２４"</f>
        <v>登米市中田町石森字加賀野２丁目２５－２４</v>
      </c>
      <c r="F546" s="2" t="str">
        <f>"0220-35-1161  "</f>
        <v xml:space="preserve">0220-35-1161  </v>
      </c>
      <c r="G546" s="3" t="s">
        <v>273</v>
      </c>
    </row>
    <row r="547" spans="1:7" x14ac:dyDescent="0.4">
      <c r="A547" s="2">
        <v>546</v>
      </c>
      <c r="B547" s="2" t="s">
        <v>4</v>
      </c>
      <c r="C547" s="2" t="s">
        <v>272</v>
      </c>
      <c r="D547" s="3" t="s">
        <v>271</v>
      </c>
      <c r="E547" s="3" t="str">
        <f>"登米市登米町日野渡内ノ目３２９－１"</f>
        <v>登米市登米町日野渡内ノ目３２９－１</v>
      </c>
      <c r="F547" s="2" t="str">
        <f>"0220-52-2303  "</f>
        <v xml:space="preserve">0220-52-2303  </v>
      </c>
      <c r="G547" s="3" t="s">
        <v>160</v>
      </c>
    </row>
    <row r="548" spans="1:7" x14ac:dyDescent="0.4">
      <c r="A548" s="2">
        <v>547</v>
      </c>
      <c r="B548" s="2" t="s">
        <v>4</v>
      </c>
      <c r="C548" s="2" t="s">
        <v>270</v>
      </c>
      <c r="D548" s="3" t="s">
        <v>267</v>
      </c>
      <c r="E548" s="3" t="s">
        <v>269</v>
      </c>
      <c r="F548" s="2" t="str">
        <f>"0220-42-2007  "</f>
        <v xml:space="preserve">0220-42-2007  </v>
      </c>
      <c r="G548" s="3" t="s">
        <v>97</v>
      </c>
    </row>
    <row r="549" spans="1:7" x14ac:dyDescent="0.4">
      <c r="A549" s="2">
        <v>548</v>
      </c>
      <c r="B549" s="2" t="s">
        <v>4</v>
      </c>
      <c r="C549" s="2" t="s">
        <v>268</v>
      </c>
      <c r="D549" s="3" t="s">
        <v>267</v>
      </c>
      <c r="E549" s="3" t="s">
        <v>266</v>
      </c>
      <c r="F549" s="2" t="str">
        <f>"0220-42-2007  "</f>
        <v xml:space="preserve">0220-42-2007  </v>
      </c>
      <c r="G549" s="3" t="s">
        <v>26</v>
      </c>
    </row>
    <row r="550" spans="1:7" x14ac:dyDescent="0.4">
      <c r="A550" s="2">
        <v>549</v>
      </c>
      <c r="B550" s="2" t="s">
        <v>4</v>
      </c>
      <c r="C550" s="2" t="s">
        <v>265</v>
      </c>
      <c r="D550" s="3" t="s">
        <v>254</v>
      </c>
      <c r="E550" s="3" t="s">
        <v>256</v>
      </c>
      <c r="F550" s="2" t="str">
        <f t="shared" ref="F550:F558" si="21">"0220-22-5511  "</f>
        <v xml:space="preserve">0220-22-5511  </v>
      </c>
      <c r="G550" s="3" t="s">
        <v>115</v>
      </c>
    </row>
    <row r="551" spans="1:7" x14ac:dyDescent="0.4">
      <c r="A551" s="2">
        <v>550</v>
      </c>
      <c r="B551" s="2" t="s">
        <v>4</v>
      </c>
      <c r="C551" s="2" t="s">
        <v>264</v>
      </c>
      <c r="D551" s="3" t="s">
        <v>254</v>
      </c>
      <c r="E551" s="3" t="s">
        <v>256</v>
      </c>
      <c r="F551" s="2" t="str">
        <f t="shared" si="21"/>
        <v xml:space="preserve">0220-22-5511  </v>
      </c>
      <c r="G551" s="3" t="s">
        <v>97</v>
      </c>
    </row>
    <row r="552" spans="1:7" x14ac:dyDescent="0.4">
      <c r="A552" s="2">
        <v>551</v>
      </c>
      <c r="B552" s="2" t="s">
        <v>4</v>
      </c>
      <c r="C552" s="2" t="s">
        <v>263</v>
      </c>
      <c r="D552" s="3" t="s">
        <v>254</v>
      </c>
      <c r="E552" s="3" t="s">
        <v>256</v>
      </c>
      <c r="F552" s="2" t="str">
        <f t="shared" si="21"/>
        <v xml:space="preserve">0220-22-5511  </v>
      </c>
      <c r="G552" s="3" t="s">
        <v>9</v>
      </c>
    </row>
    <row r="553" spans="1:7" x14ac:dyDescent="0.4">
      <c r="A553" s="2">
        <v>552</v>
      </c>
      <c r="B553" s="2" t="s">
        <v>4</v>
      </c>
      <c r="C553" s="2" t="s">
        <v>262</v>
      </c>
      <c r="D553" s="3" t="s">
        <v>254</v>
      </c>
      <c r="E553" s="3" t="s">
        <v>256</v>
      </c>
      <c r="F553" s="2" t="str">
        <f t="shared" si="21"/>
        <v xml:space="preserve">0220-22-5511  </v>
      </c>
      <c r="G553" s="3" t="s">
        <v>115</v>
      </c>
    </row>
    <row r="554" spans="1:7" x14ac:dyDescent="0.4">
      <c r="A554" s="2">
        <v>553</v>
      </c>
      <c r="B554" s="2" t="s">
        <v>4</v>
      </c>
      <c r="C554" s="2" t="s">
        <v>261</v>
      </c>
      <c r="D554" s="3" t="s">
        <v>254</v>
      </c>
      <c r="E554" s="3" t="s">
        <v>256</v>
      </c>
      <c r="F554" s="2" t="str">
        <f t="shared" si="21"/>
        <v xml:space="preserve">0220-22-5511  </v>
      </c>
      <c r="G554" s="3" t="s">
        <v>26</v>
      </c>
    </row>
    <row r="555" spans="1:7" x14ac:dyDescent="0.4">
      <c r="A555" s="2">
        <v>554</v>
      </c>
      <c r="B555" s="2" t="s">
        <v>4</v>
      </c>
      <c r="C555" s="2" t="s">
        <v>260</v>
      </c>
      <c r="D555" s="3" t="s">
        <v>254</v>
      </c>
      <c r="E555" s="3" t="s">
        <v>256</v>
      </c>
      <c r="F555" s="2" t="str">
        <f t="shared" si="21"/>
        <v xml:space="preserve">0220-22-5511  </v>
      </c>
      <c r="G555" s="3" t="s">
        <v>259</v>
      </c>
    </row>
    <row r="556" spans="1:7" x14ac:dyDescent="0.4">
      <c r="A556" s="2">
        <v>555</v>
      </c>
      <c r="B556" s="2" t="s">
        <v>4</v>
      </c>
      <c r="C556" s="2" t="s">
        <v>258</v>
      </c>
      <c r="D556" s="3" t="s">
        <v>254</v>
      </c>
      <c r="E556" s="3" t="s">
        <v>256</v>
      </c>
      <c r="F556" s="2" t="str">
        <f t="shared" si="21"/>
        <v xml:space="preserve">0220-22-5511  </v>
      </c>
      <c r="G556" s="3" t="s">
        <v>97</v>
      </c>
    </row>
    <row r="557" spans="1:7" x14ac:dyDescent="0.4">
      <c r="A557" s="2">
        <v>556</v>
      </c>
      <c r="B557" s="2" t="s">
        <v>4</v>
      </c>
      <c r="C557" s="2" t="s">
        <v>257</v>
      </c>
      <c r="D557" s="3" t="s">
        <v>254</v>
      </c>
      <c r="E557" s="3" t="s">
        <v>256</v>
      </c>
      <c r="F557" s="2" t="str">
        <f t="shared" si="21"/>
        <v xml:space="preserve">0220-22-5511  </v>
      </c>
      <c r="G557" s="3" t="s">
        <v>26</v>
      </c>
    </row>
    <row r="558" spans="1:7" x14ac:dyDescent="0.4">
      <c r="A558" s="2">
        <v>557</v>
      </c>
      <c r="B558" s="2" t="s">
        <v>4</v>
      </c>
      <c r="C558" s="2" t="s">
        <v>255</v>
      </c>
      <c r="D558" s="3" t="s">
        <v>254</v>
      </c>
      <c r="E558" s="3" t="s">
        <v>253</v>
      </c>
      <c r="F558" s="2" t="str">
        <f t="shared" si="21"/>
        <v xml:space="preserve">0220-22-5511  </v>
      </c>
      <c r="G558" s="3" t="s">
        <v>115</v>
      </c>
    </row>
    <row r="559" spans="1:7" x14ac:dyDescent="0.4">
      <c r="A559" s="2">
        <v>558</v>
      </c>
      <c r="B559" s="2" t="s">
        <v>4</v>
      </c>
      <c r="C559" s="2" t="s">
        <v>252</v>
      </c>
      <c r="D559" s="3" t="s">
        <v>251</v>
      </c>
      <c r="E559" s="3" t="str">
        <f>"登米市迫町佐沼字江合１丁目８－１"</f>
        <v>登米市迫町佐沼字江合１丁目８－１</v>
      </c>
      <c r="F559" s="2" t="str">
        <f>"0220-21-5550  "</f>
        <v xml:space="preserve">0220-21-5550  </v>
      </c>
      <c r="G559" s="3" t="s">
        <v>171</v>
      </c>
    </row>
    <row r="560" spans="1:7" x14ac:dyDescent="0.4">
      <c r="A560" s="2">
        <v>559</v>
      </c>
      <c r="B560" s="2" t="s">
        <v>4</v>
      </c>
      <c r="C560" s="2" t="s">
        <v>250</v>
      </c>
      <c r="D560" s="3" t="s">
        <v>249</v>
      </c>
      <c r="E560" s="3" t="str">
        <f>"登米市迫町佐沼字江合１丁目８－８"</f>
        <v>登米市迫町佐沼字江合１丁目８－８</v>
      </c>
      <c r="F560" s="2" t="str">
        <f>"0220-21-5660  "</f>
        <v xml:space="preserve">0220-21-5660  </v>
      </c>
      <c r="G560" s="3" t="s">
        <v>53</v>
      </c>
    </row>
    <row r="561" spans="1:7" x14ac:dyDescent="0.4">
      <c r="A561" s="2">
        <v>560</v>
      </c>
      <c r="B561" s="2" t="s">
        <v>4</v>
      </c>
      <c r="C561" s="2" t="s">
        <v>248</v>
      </c>
      <c r="D561" s="3" t="s">
        <v>246</v>
      </c>
      <c r="E561" s="3" t="str">
        <f>"登米市迫町佐沼字小金丁５０－２"</f>
        <v>登米市迫町佐沼字小金丁５０－２</v>
      </c>
      <c r="F561" s="2" t="str">
        <f>"0220-22-1510  "</f>
        <v xml:space="preserve">0220-22-1510  </v>
      </c>
      <c r="G561" s="3" t="s">
        <v>5</v>
      </c>
    </row>
    <row r="562" spans="1:7" x14ac:dyDescent="0.4">
      <c r="A562" s="2">
        <v>561</v>
      </c>
      <c r="B562" s="2" t="s">
        <v>4</v>
      </c>
      <c r="C562" s="2" t="s">
        <v>247</v>
      </c>
      <c r="D562" s="3" t="s">
        <v>246</v>
      </c>
      <c r="E562" s="3" t="str">
        <f>"登米市迫町佐沼字小金丁５０－２"</f>
        <v>登米市迫町佐沼字小金丁５０－２</v>
      </c>
      <c r="F562" s="2" t="str">
        <f>"0220-22-1510  "</f>
        <v xml:space="preserve">0220-22-1510  </v>
      </c>
      <c r="G562" s="3" t="s">
        <v>5</v>
      </c>
    </row>
    <row r="563" spans="1:7" x14ac:dyDescent="0.4">
      <c r="A563" s="2">
        <v>562</v>
      </c>
      <c r="B563" s="2" t="s">
        <v>4</v>
      </c>
      <c r="C563" s="2" t="s">
        <v>245</v>
      </c>
      <c r="D563" s="3" t="s">
        <v>244</v>
      </c>
      <c r="E563" s="3" t="str">
        <f>"登米市迫町佐沼字大網２２４－１"</f>
        <v>登米市迫町佐沼字大網２２４－１</v>
      </c>
      <c r="F563" s="2" t="str">
        <f>"0220-21-5335  "</f>
        <v xml:space="preserve">0220-21-5335  </v>
      </c>
      <c r="G563" s="3" t="s">
        <v>169</v>
      </c>
    </row>
    <row r="564" spans="1:7" ht="37.5" x14ac:dyDescent="0.4">
      <c r="A564" s="2">
        <v>563</v>
      </c>
      <c r="B564" s="2" t="s">
        <v>4</v>
      </c>
      <c r="C564" s="2" t="s">
        <v>243</v>
      </c>
      <c r="D564" s="3" t="s">
        <v>240</v>
      </c>
      <c r="E564" s="3" t="s">
        <v>239</v>
      </c>
      <c r="F564" s="2" t="str">
        <f>"0220-23-9832  "</f>
        <v xml:space="preserve">0220-23-9832  </v>
      </c>
      <c r="G564" s="3" t="s">
        <v>242</v>
      </c>
    </row>
    <row r="565" spans="1:7" ht="37.5" x14ac:dyDescent="0.4">
      <c r="A565" s="2">
        <v>564</v>
      </c>
      <c r="B565" s="2" t="s">
        <v>4</v>
      </c>
      <c r="C565" s="2" t="s">
        <v>241</v>
      </c>
      <c r="D565" s="3" t="s">
        <v>240</v>
      </c>
      <c r="E565" s="3" t="s">
        <v>239</v>
      </c>
      <c r="F565" s="2" t="str">
        <f>"0220-23-9832  "</f>
        <v xml:space="preserve">0220-23-9832  </v>
      </c>
      <c r="G565" s="3" t="s">
        <v>26</v>
      </c>
    </row>
    <row r="566" spans="1:7" x14ac:dyDescent="0.4">
      <c r="A566" s="2">
        <v>565</v>
      </c>
      <c r="B566" s="2" t="s">
        <v>4</v>
      </c>
      <c r="C566" s="2" t="s">
        <v>238</v>
      </c>
      <c r="D566" s="3" t="s">
        <v>237</v>
      </c>
      <c r="E566" s="3" t="str">
        <f>"登米市迫町佐沼字八幡３丁目４－２"</f>
        <v>登米市迫町佐沼字八幡３丁目４－２</v>
      </c>
      <c r="F566" s="2" t="str">
        <f>"0220-22-0888  "</f>
        <v xml:space="preserve">0220-22-0888  </v>
      </c>
      <c r="G566" s="3" t="s">
        <v>18</v>
      </c>
    </row>
    <row r="567" spans="1:7" x14ac:dyDescent="0.4">
      <c r="A567" s="2">
        <v>566</v>
      </c>
      <c r="B567" s="2" t="s">
        <v>4</v>
      </c>
      <c r="C567" s="2" t="s">
        <v>236</v>
      </c>
      <c r="D567" s="3" t="s">
        <v>235</v>
      </c>
      <c r="E567" s="3" t="str">
        <f>"登米市豊里町横町５９－１"</f>
        <v>登米市豊里町横町５９－１</v>
      </c>
      <c r="F567" s="2" t="str">
        <f>"0225-76-3420  "</f>
        <v xml:space="preserve">0225-76-3420  </v>
      </c>
      <c r="G567" s="3" t="s">
        <v>79</v>
      </c>
    </row>
    <row r="568" spans="1:7" x14ac:dyDescent="0.4">
      <c r="A568" s="2">
        <v>567</v>
      </c>
      <c r="B568" s="2" t="s">
        <v>4</v>
      </c>
      <c r="C568" s="2" t="s">
        <v>234</v>
      </c>
      <c r="D568" s="3" t="s">
        <v>233</v>
      </c>
      <c r="E568" s="3" t="str">
        <f>"登米市豊里町土手下　７４－１"</f>
        <v>登米市豊里町土手下　７４－１</v>
      </c>
      <c r="F568" s="2" t="str">
        <f>"0225-76-2023  "</f>
        <v xml:space="preserve">0225-76-2023  </v>
      </c>
      <c r="G568" s="3" t="s">
        <v>26</v>
      </c>
    </row>
    <row r="569" spans="1:7" x14ac:dyDescent="0.4">
      <c r="A569" s="2">
        <v>568</v>
      </c>
      <c r="B569" s="2" t="s">
        <v>4</v>
      </c>
      <c r="C569" s="2" t="s">
        <v>232</v>
      </c>
      <c r="D569" s="3" t="s">
        <v>231</v>
      </c>
      <c r="E569" s="3" t="str">
        <f>"東松島市赤井字川前4-1-6"</f>
        <v>東松島市赤井字川前4-1-6</v>
      </c>
      <c r="F569" s="2" t="str">
        <f>"0225-98-8617  "</f>
        <v xml:space="preserve">0225-98-8617  </v>
      </c>
      <c r="G569" s="3" t="s">
        <v>227</v>
      </c>
    </row>
    <row r="570" spans="1:7" x14ac:dyDescent="0.4">
      <c r="A570" s="2">
        <v>569</v>
      </c>
      <c r="B570" s="2" t="s">
        <v>4</v>
      </c>
      <c r="C570" s="2" t="s">
        <v>230</v>
      </c>
      <c r="D570" s="3" t="s">
        <v>224</v>
      </c>
      <c r="E570" s="3" t="str">
        <f>"東松島市赤井字台５３－７"</f>
        <v>東松島市赤井字台５３－７</v>
      </c>
      <c r="F570" s="2" t="str">
        <f>"0225-83-2111  "</f>
        <v xml:space="preserve">0225-83-2111  </v>
      </c>
      <c r="G570" s="3" t="s">
        <v>28</v>
      </c>
    </row>
    <row r="571" spans="1:7" x14ac:dyDescent="0.4">
      <c r="A571" s="2">
        <v>570</v>
      </c>
      <c r="B571" s="2" t="s">
        <v>4</v>
      </c>
      <c r="C571" s="2" t="s">
        <v>229</v>
      </c>
      <c r="D571" s="3" t="s">
        <v>224</v>
      </c>
      <c r="E571" s="3" t="str">
        <f>"東松島市赤井字台５３－７"</f>
        <v>東松島市赤井字台５３－７</v>
      </c>
      <c r="F571" s="2" t="str">
        <f>"0225-83-2111  "</f>
        <v xml:space="preserve">0225-83-2111  </v>
      </c>
      <c r="G571" s="3" t="s">
        <v>28</v>
      </c>
    </row>
    <row r="572" spans="1:7" x14ac:dyDescent="0.4">
      <c r="A572" s="2">
        <v>571</v>
      </c>
      <c r="B572" s="2" t="s">
        <v>4</v>
      </c>
      <c r="C572" s="2" t="s">
        <v>228</v>
      </c>
      <c r="D572" s="3" t="s">
        <v>224</v>
      </c>
      <c r="E572" s="3" t="str">
        <f>"東松島市赤井字台５３－７"</f>
        <v>東松島市赤井字台５３－７</v>
      </c>
      <c r="F572" s="2" t="str">
        <f>"0225-83-2111  "</f>
        <v xml:space="preserve">0225-83-2111  </v>
      </c>
      <c r="G572" s="3" t="s">
        <v>227</v>
      </c>
    </row>
    <row r="573" spans="1:7" x14ac:dyDescent="0.4">
      <c r="A573" s="2">
        <v>572</v>
      </c>
      <c r="B573" s="2" t="s">
        <v>4</v>
      </c>
      <c r="C573" s="2" t="s">
        <v>226</v>
      </c>
      <c r="D573" s="3" t="s">
        <v>224</v>
      </c>
      <c r="E573" s="3" t="str">
        <f>"東松島市赤井字台５３－７"</f>
        <v>東松島市赤井字台５３－７</v>
      </c>
      <c r="F573" s="2" t="str">
        <f>"0225-83-2111  "</f>
        <v xml:space="preserve">0225-83-2111  </v>
      </c>
      <c r="G573" s="3" t="s">
        <v>28</v>
      </c>
    </row>
    <row r="574" spans="1:7" x14ac:dyDescent="0.4">
      <c r="A574" s="2">
        <v>573</v>
      </c>
      <c r="B574" s="2" t="s">
        <v>4</v>
      </c>
      <c r="C574" s="2" t="s">
        <v>225</v>
      </c>
      <c r="D574" s="3" t="s">
        <v>224</v>
      </c>
      <c r="E574" s="3" t="str">
        <f>"東松島市赤井字台５３－７"</f>
        <v>東松島市赤井字台５３－７</v>
      </c>
      <c r="F574" s="2" t="str">
        <f>"0225-83-2111  "</f>
        <v xml:space="preserve">0225-83-2111  </v>
      </c>
      <c r="G574" s="3" t="s">
        <v>180</v>
      </c>
    </row>
    <row r="575" spans="1:7" ht="37.5" x14ac:dyDescent="0.4">
      <c r="A575" s="2">
        <v>574</v>
      </c>
      <c r="B575" s="2" t="s">
        <v>4</v>
      </c>
      <c r="C575" s="2" t="s">
        <v>223</v>
      </c>
      <c r="D575" s="3" t="s">
        <v>222</v>
      </c>
      <c r="E575" s="3" t="s">
        <v>221</v>
      </c>
      <c r="F575" s="2" t="str">
        <f>"0225-83-8830  "</f>
        <v xml:space="preserve">0225-83-8830  </v>
      </c>
      <c r="G575" s="3" t="s">
        <v>220</v>
      </c>
    </row>
    <row r="576" spans="1:7" x14ac:dyDescent="0.4">
      <c r="A576" s="2">
        <v>575</v>
      </c>
      <c r="B576" s="2" t="s">
        <v>4</v>
      </c>
      <c r="C576" s="2" t="s">
        <v>219</v>
      </c>
      <c r="D576" s="3" t="s">
        <v>218</v>
      </c>
      <c r="E576" s="3" t="s">
        <v>217</v>
      </c>
      <c r="F576" s="2" t="str">
        <f>"0225-84-2323  "</f>
        <v xml:space="preserve">0225-84-2323  </v>
      </c>
      <c r="G576" s="3" t="s">
        <v>97</v>
      </c>
    </row>
    <row r="577" spans="1:7" x14ac:dyDescent="0.4">
      <c r="A577" s="2">
        <v>576</v>
      </c>
      <c r="B577" s="2" t="s">
        <v>4</v>
      </c>
      <c r="C577" s="2" t="s">
        <v>216</v>
      </c>
      <c r="D577" s="3" t="s">
        <v>215</v>
      </c>
      <c r="E577" s="3" t="s">
        <v>214</v>
      </c>
      <c r="F577" s="2" t="str">
        <f>"0225-82-6666  "</f>
        <v xml:space="preserve">0225-82-6666  </v>
      </c>
      <c r="G577" s="3" t="s">
        <v>213</v>
      </c>
    </row>
    <row r="578" spans="1:7" x14ac:dyDescent="0.4">
      <c r="A578" s="2">
        <v>577</v>
      </c>
      <c r="B578" s="2" t="s">
        <v>4</v>
      </c>
      <c r="C578" s="2" t="s">
        <v>212</v>
      </c>
      <c r="D578" s="3" t="s">
        <v>207</v>
      </c>
      <c r="E578" s="3" t="str">
        <f>"東松島市矢本字鹿石前109-4"</f>
        <v>東松島市矢本字鹿石前109-4</v>
      </c>
      <c r="F578" s="2" t="str">
        <f t="shared" ref="F578:F584" si="22">"0225-82-7111  "</f>
        <v xml:space="preserve">0225-82-7111  </v>
      </c>
      <c r="G578" s="3" t="s">
        <v>115</v>
      </c>
    </row>
    <row r="579" spans="1:7" x14ac:dyDescent="0.4">
      <c r="A579" s="2">
        <v>578</v>
      </c>
      <c r="B579" s="2" t="s">
        <v>4</v>
      </c>
      <c r="C579" s="2" t="s">
        <v>211</v>
      </c>
      <c r="D579" s="3" t="s">
        <v>207</v>
      </c>
      <c r="E579" s="3" t="str">
        <f>"東松島市矢本字鹿石前１０９－４"</f>
        <v>東松島市矢本字鹿石前１０９－４</v>
      </c>
      <c r="F579" s="2" t="str">
        <f t="shared" si="22"/>
        <v xml:space="preserve">0225-82-7111  </v>
      </c>
      <c r="G579" s="3" t="s">
        <v>210</v>
      </c>
    </row>
    <row r="580" spans="1:7" x14ac:dyDescent="0.4">
      <c r="A580" s="2">
        <v>579</v>
      </c>
      <c r="B580" s="2" t="s">
        <v>4</v>
      </c>
      <c r="C580" s="2" t="s">
        <v>209</v>
      </c>
      <c r="D580" s="3" t="s">
        <v>200</v>
      </c>
      <c r="E580" s="3" t="str">
        <f>"東松島市矢本字鹿石前１０９－４"</f>
        <v>東松島市矢本字鹿石前１０９－４</v>
      </c>
      <c r="F580" s="2" t="str">
        <f t="shared" si="22"/>
        <v xml:space="preserve">0225-82-7111  </v>
      </c>
      <c r="G580" s="3" t="s">
        <v>115</v>
      </c>
    </row>
    <row r="581" spans="1:7" x14ac:dyDescent="0.4">
      <c r="A581" s="2">
        <v>580</v>
      </c>
      <c r="B581" s="2" t="s">
        <v>4</v>
      </c>
      <c r="C581" s="2" t="s">
        <v>208</v>
      </c>
      <c r="D581" s="3" t="s">
        <v>207</v>
      </c>
      <c r="E581" s="3" t="str">
        <f>"東松島市矢本字鹿石前１０９－４"</f>
        <v>東松島市矢本字鹿石前１０９－４</v>
      </c>
      <c r="F581" s="2" t="str">
        <f t="shared" si="22"/>
        <v xml:space="preserve">0225-82-7111  </v>
      </c>
      <c r="G581" s="3" t="s">
        <v>206</v>
      </c>
    </row>
    <row r="582" spans="1:7" ht="37.5" x14ac:dyDescent="0.4">
      <c r="A582" s="2">
        <v>581</v>
      </c>
      <c r="B582" s="2" t="s">
        <v>4</v>
      </c>
      <c r="C582" s="2" t="s">
        <v>205</v>
      </c>
      <c r="D582" s="3" t="s">
        <v>200</v>
      </c>
      <c r="E582" s="3" t="str">
        <f>"東松島市矢本字鹿石前１０９－４"</f>
        <v>東松島市矢本字鹿石前１０９－４</v>
      </c>
      <c r="F582" s="2" t="str">
        <f t="shared" si="22"/>
        <v xml:space="preserve">0225-82-7111  </v>
      </c>
      <c r="G582" s="3" t="s">
        <v>204</v>
      </c>
    </row>
    <row r="583" spans="1:7" x14ac:dyDescent="0.4">
      <c r="A583" s="2">
        <v>582</v>
      </c>
      <c r="B583" s="2" t="s">
        <v>4</v>
      </c>
      <c r="C583" s="2" t="s">
        <v>203</v>
      </c>
      <c r="D583" s="3" t="s">
        <v>200</v>
      </c>
      <c r="E583" s="3" t="str">
        <f>"東松島市矢本字鹿石前１０９－４"</f>
        <v>東松島市矢本字鹿石前１０９－４</v>
      </c>
      <c r="F583" s="2" t="str">
        <f t="shared" si="22"/>
        <v xml:space="preserve">0225-82-7111  </v>
      </c>
      <c r="G583" s="3" t="s">
        <v>202</v>
      </c>
    </row>
    <row r="584" spans="1:7" x14ac:dyDescent="0.4">
      <c r="A584" s="2">
        <v>583</v>
      </c>
      <c r="B584" s="2" t="s">
        <v>4</v>
      </c>
      <c r="C584" s="2" t="s">
        <v>201</v>
      </c>
      <c r="D584" s="3" t="s">
        <v>200</v>
      </c>
      <c r="E584" s="3" t="s">
        <v>199</v>
      </c>
      <c r="F584" s="2" t="str">
        <f t="shared" si="22"/>
        <v xml:space="preserve">0225-82-7111  </v>
      </c>
      <c r="G584" s="3" t="s">
        <v>97</v>
      </c>
    </row>
    <row r="585" spans="1:7" x14ac:dyDescent="0.4">
      <c r="A585" s="2">
        <v>584</v>
      </c>
      <c r="B585" s="2" t="s">
        <v>4</v>
      </c>
      <c r="C585" s="2" t="s">
        <v>198</v>
      </c>
      <c r="D585" s="3" t="s">
        <v>197</v>
      </c>
      <c r="E585" s="3" t="str">
        <f>"東松島市矢本字上河戸２９３－８"</f>
        <v>東松島市矢本字上河戸２９３－８</v>
      </c>
      <c r="F585" s="2" t="str">
        <f>"0225-84-1333  "</f>
        <v xml:space="preserve">0225-84-1333  </v>
      </c>
      <c r="G585" s="3" t="s">
        <v>26</v>
      </c>
    </row>
    <row r="586" spans="1:7" x14ac:dyDescent="0.4">
      <c r="A586" s="2">
        <v>585</v>
      </c>
      <c r="B586" s="2" t="s">
        <v>4</v>
      </c>
      <c r="C586" s="2" t="s">
        <v>196</v>
      </c>
      <c r="D586" s="3" t="s">
        <v>195</v>
      </c>
      <c r="E586" s="3" t="s">
        <v>194</v>
      </c>
      <c r="F586" s="2" t="str">
        <f>"0225-25-7448  "</f>
        <v xml:space="preserve">0225-25-7448  </v>
      </c>
      <c r="G586" s="3" t="s">
        <v>5</v>
      </c>
    </row>
    <row r="587" spans="1:7" x14ac:dyDescent="0.4">
      <c r="A587" s="2">
        <v>586</v>
      </c>
      <c r="B587" s="2" t="s">
        <v>4</v>
      </c>
      <c r="C587" s="2" t="s">
        <v>193</v>
      </c>
      <c r="D587" s="3" t="s">
        <v>192</v>
      </c>
      <c r="E587" s="3" t="str">
        <f>"白石市旭町２－９－１７"</f>
        <v>白石市旭町２－９－１７</v>
      </c>
      <c r="F587" s="2" t="str">
        <f>"0224-25-1616  "</f>
        <v xml:space="preserve">0224-25-1616  </v>
      </c>
      <c r="G587" s="3" t="s">
        <v>97</v>
      </c>
    </row>
    <row r="588" spans="1:7" ht="37.5" x14ac:dyDescent="0.4">
      <c r="A588" s="2">
        <v>587</v>
      </c>
      <c r="B588" s="2" t="s">
        <v>4</v>
      </c>
      <c r="C588" s="2" t="s">
        <v>191</v>
      </c>
      <c r="D588" s="3" t="s">
        <v>190</v>
      </c>
      <c r="E588" s="3" t="s">
        <v>189</v>
      </c>
      <c r="F588" s="2" t="str">
        <f>"0224-25-1181  "</f>
        <v xml:space="preserve">0224-25-1181  </v>
      </c>
      <c r="G588" s="3" t="s">
        <v>160</v>
      </c>
    </row>
    <row r="589" spans="1:7" x14ac:dyDescent="0.4">
      <c r="A589" s="2">
        <v>588</v>
      </c>
      <c r="B589" s="2" t="s">
        <v>4</v>
      </c>
      <c r="C589" s="2" t="s">
        <v>188</v>
      </c>
      <c r="D589" s="3" t="s">
        <v>187</v>
      </c>
      <c r="E589" s="3" t="str">
        <f>"白石市沢端町１－３７"</f>
        <v>白石市沢端町１－３７</v>
      </c>
      <c r="F589" s="2" t="str">
        <f>"0224-25-2210  "</f>
        <v xml:space="preserve">0224-25-2210  </v>
      </c>
      <c r="G589" s="3" t="s">
        <v>120</v>
      </c>
    </row>
    <row r="590" spans="1:7" x14ac:dyDescent="0.4">
      <c r="A590" s="2">
        <v>589</v>
      </c>
      <c r="B590" s="2" t="s">
        <v>4</v>
      </c>
      <c r="C590" s="2" t="s">
        <v>186</v>
      </c>
      <c r="D590" s="3" t="s">
        <v>185</v>
      </c>
      <c r="E590" s="3" t="str">
        <f>"白石市銚子ケ森10-13"</f>
        <v>白石市銚子ケ森10-13</v>
      </c>
      <c r="F590" s="2" t="str">
        <f>"0224-24-3571  "</f>
        <v xml:space="preserve">0224-24-3571  </v>
      </c>
      <c r="G590" s="3" t="s">
        <v>18</v>
      </c>
    </row>
    <row r="591" spans="1:7" x14ac:dyDescent="0.4">
      <c r="A591" s="2">
        <v>590</v>
      </c>
      <c r="B591" s="2" t="s">
        <v>4</v>
      </c>
      <c r="C591" s="2" t="s">
        <v>184</v>
      </c>
      <c r="D591" s="3" t="s">
        <v>177</v>
      </c>
      <c r="E591" s="3" t="str">
        <f>"白石市福岡深谷字一本松５－１"</f>
        <v>白石市福岡深谷字一本松５－１</v>
      </c>
      <c r="F591" s="2" t="str">
        <f>"0224-22-2111  "</f>
        <v xml:space="preserve">0224-22-2111  </v>
      </c>
      <c r="G591" s="3" t="s">
        <v>26</v>
      </c>
    </row>
    <row r="592" spans="1:7" x14ac:dyDescent="0.4">
      <c r="A592" s="2">
        <v>591</v>
      </c>
      <c r="B592" s="2" t="s">
        <v>4</v>
      </c>
      <c r="C592" s="2" t="s">
        <v>183</v>
      </c>
      <c r="D592" s="3" t="s">
        <v>177</v>
      </c>
      <c r="E592" s="3" t="str">
        <f>"白石市福岡深谷字一本松５－１"</f>
        <v>白石市福岡深谷字一本松５－１</v>
      </c>
      <c r="F592" s="2" t="str">
        <f>"0224-22-2111  "</f>
        <v xml:space="preserve">0224-22-2111  </v>
      </c>
      <c r="G592" s="3" t="s">
        <v>182</v>
      </c>
    </row>
    <row r="593" spans="1:7" x14ac:dyDescent="0.4">
      <c r="A593" s="2">
        <v>592</v>
      </c>
      <c r="B593" s="2" t="s">
        <v>4</v>
      </c>
      <c r="C593" s="2" t="s">
        <v>181</v>
      </c>
      <c r="D593" s="3" t="s">
        <v>177</v>
      </c>
      <c r="E593" s="3" t="str">
        <f>"白石市福岡深谷字一本松５－１"</f>
        <v>白石市福岡深谷字一本松５－１</v>
      </c>
      <c r="F593" s="2" t="str">
        <f>"0224-22-2111  "</f>
        <v xml:space="preserve">0224-22-2111  </v>
      </c>
      <c r="G593" s="3" t="s">
        <v>180</v>
      </c>
    </row>
    <row r="594" spans="1:7" x14ac:dyDescent="0.4">
      <c r="A594" s="2">
        <v>593</v>
      </c>
      <c r="B594" s="2" t="s">
        <v>4</v>
      </c>
      <c r="C594" s="2" t="s">
        <v>179</v>
      </c>
      <c r="D594" s="3" t="s">
        <v>177</v>
      </c>
      <c r="E594" s="3" t="str">
        <f>"白石市福岡深谷字一本松５－１"</f>
        <v>白石市福岡深谷字一本松５－１</v>
      </c>
      <c r="F594" s="2" t="str">
        <f>"0224-22-2111  "</f>
        <v xml:space="preserve">0224-22-2111  </v>
      </c>
      <c r="G594" s="3" t="s">
        <v>115</v>
      </c>
    </row>
    <row r="595" spans="1:7" x14ac:dyDescent="0.4">
      <c r="A595" s="2">
        <v>594</v>
      </c>
      <c r="B595" s="2" t="s">
        <v>4</v>
      </c>
      <c r="C595" s="2" t="s">
        <v>178</v>
      </c>
      <c r="D595" s="3" t="s">
        <v>177</v>
      </c>
      <c r="E595" s="3" t="str">
        <f>"白石市福岡深谷字一本松５－１"</f>
        <v>白石市福岡深谷字一本松５－１</v>
      </c>
      <c r="F595" s="2" t="str">
        <f>"0224-22-2111  "</f>
        <v xml:space="preserve">0224-22-2111  </v>
      </c>
      <c r="G595" s="3" t="s">
        <v>115</v>
      </c>
    </row>
    <row r="596" spans="1:7" x14ac:dyDescent="0.4">
      <c r="A596" s="2">
        <v>595</v>
      </c>
      <c r="B596" s="2" t="s">
        <v>4</v>
      </c>
      <c r="C596" s="2" t="s">
        <v>176</v>
      </c>
      <c r="D596" s="3" t="s">
        <v>164</v>
      </c>
      <c r="E596" s="3" t="s">
        <v>174</v>
      </c>
      <c r="F596" s="2" t="str">
        <f t="shared" ref="F596:F603" si="23">"0224-25-2145  "</f>
        <v xml:space="preserve">0224-25-2145  </v>
      </c>
      <c r="G596" s="3" t="s">
        <v>26</v>
      </c>
    </row>
    <row r="597" spans="1:7" x14ac:dyDescent="0.4">
      <c r="A597" s="2">
        <v>596</v>
      </c>
      <c r="B597" s="2" t="s">
        <v>4</v>
      </c>
      <c r="C597" s="2" t="s">
        <v>175</v>
      </c>
      <c r="D597" s="3" t="s">
        <v>164</v>
      </c>
      <c r="E597" s="3" t="s">
        <v>174</v>
      </c>
      <c r="F597" s="2" t="str">
        <f t="shared" si="23"/>
        <v xml:space="preserve">0224-25-2145  </v>
      </c>
      <c r="G597" s="3" t="s">
        <v>9</v>
      </c>
    </row>
    <row r="598" spans="1:7" x14ac:dyDescent="0.4">
      <c r="A598" s="2">
        <v>597</v>
      </c>
      <c r="B598" s="2" t="s">
        <v>4</v>
      </c>
      <c r="C598" s="2" t="s">
        <v>173</v>
      </c>
      <c r="D598" s="3" t="s">
        <v>164</v>
      </c>
      <c r="E598" s="3" t="s">
        <v>172</v>
      </c>
      <c r="F598" s="2" t="str">
        <f t="shared" si="23"/>
        <v xml:space="preserve">0224-25-2145  </v>
      </c>
      <c r="G598" s="3" t="s">
        <v>171</v>
      </c>
    </row>
    <row r="599" spans="1:7" x14ac:dyDescent="0.4">
      <c r="A599" s="2">
        <v>598</v>
      </c>
      <c r="B599" s="2" t="s">
        <v>4</v>
      </c>
      <c r="C599" s="2" t="s">
        <v>170</v>
      </c>
      <c r="D599" s="3" t="s">
        <v>164</v>
      </c>
      <c r="E599" s="3" t="s">
        <v>163</v>
      </c>
      <c r="F599" s="2" t="str">
        <f t="shared" si="23"/>
        <v xml:space="preserve">0224-25-2145  </v>
      </c>
      <c r="G599" s="3" t="s">
        <v>169</v>
      </c>
    </row>
    <row r="600" spans="1:7" x14ac:dyDescent="0.4">
      <c r="A600" s="2">
        <v>599</v>
      </c>
      <c r="B600" s="2" t="s">
        <v>4</v>
      </c>
      <c r="C600" s="2" t="s">
        <v>168</v>
      </c>
      <c r="D600" s="3" t="s">
        <v>164</v>
      </c>
      <c r="E600" s="3" t="s">
        <v>163</v>
      </c>
      <c r="F600" s="2" t="str">
        <f t="shared" si="23"/>
        <v xml:space="preserve">0224-25-2145  </v>
      </c>
      <c r="G600" s="3" t="s">
        <v>97</v>
      </c>
    </row>
    <row r="601" spans="1:7" x14ac:dyDescent="0.4">
      <c r="A601" s="2">
        <v>600</v>
      </c>
      <c r="B601" s="2" t="s">
        <v>4</v>
      </c>
      <c r="C601" s="2" t="s">
        <v>167</v>
      </c>
      <c r="D601" s="3" t="s">
        <v>164</v>
      </c>
      <c r="E601" s="3" t="s">
        <v>163</v>
      </c>
      <c r="F601" s="2" t="str">
        <f t="shared" si="23"/>
        <v xml:space="preserve">0224-25-2145  </v>
      </c>
      <c r="G601" s="3" t="s">
        <v>97</v>
      </c>
    </row>
    <row r="602" spans="1:7" x14ac:dyDescent="0.4">
      <c r="A602" s="2">
        <v>601</v>
      </c>
      <c r="B602" s="2" t="s">
        <v>4</v>
      </c>
      <c r="C602" s="2" t="s">
        <v>166</v>
      </c>
      <c r="D602" s="3" t="s">
        <v>164</v>
      </c>
      <c r="E602" s="3" t="s">
        <v>163</v>
      </c>
      <c r="F602" s="2" t="str">
        <f t="shared" si="23"/>
        <v xml:space="preserve">0224-25-2145  </v>
      </c>
      <c r="G602" s="3" t="s">
        <v>26</v>
      </c>
    </row>
    <row r="603" spans="1:7" x14ac:dyDescent="0.4">
      <c r="A603" s="2">
        <v>602</v>
      </c>
      <c r="B603" s="2" t="s">
        <v>4</v>
      </c>
      <c r="C603" s="2" t="s">
        <v>165</v>
      </c>
      <c r="D603" s="3" t="s">
        <v>164</v>
      </c>
      <c r="E603" s="3" t="s">
        <v>163</v>
      </c>
      <c r="F603" s="2" t="str">
        <f t="shared" si="23"/>
        <v xml:space="preserve">0224-25-2145  </v>
      </c>
      <c r="G603" s="3" t="s">
        <v>120</v>
      </c>
    </row>
    <row r="604" spans="1:7" x14ac:dyDescent="0.4">
      <c r="A604" s="2">
        <v>603</v>
      </c>
      <c r="B604" s="2" t="s">
        <v>4</v>
      </c>
      <c r="C604" s="2" t="s">
        <v>162</v>
      </c>
      <c r="D604" s="3" t="s">
        <v>158</v>
      </c>
      <c r="E604" s="3" t="str">
        <f>"富谷市ひより台１－４５－１"</f>
        <v>富谷市ひより台１－４５－１</v>
      </c>
      <c r="F604" s="2" t="str">
        <f>"022-358-2872  "</f>
        <v xml:space="preserve">022-358-2872  </v>
      </c>
      <c r="G604" s="3" t="s">
        <v>115</v>
      </c>
    </row>
    <row r="605" spans="1:7" x14ac:dyDescent="0.4">
      <c r="A605" s="2">
        <v>604</v>
      </c>
      <c r="B605" s="2" t="s">
        <v>4</v>
      </c>
      <c r="C605" s="2" t="s">
        <v>161</v>
      </c>
      <c r="D605" s="3" t="s">
        <v>158</v>
      </c>
      <c r="E605" s="3" t="str">
        <f>"富谷市ひより台１－４５－１"</f>
        <v>富谷市ひより台１－４５－１</v>
      </c>
      <c r="F605" s="2" t="str">
        <f>"022-358-2872  "</f>
        <v xml:space="preserve">022-358-2872  </v>
      </c>
      <c r="G605" s="3" t="s">
        <v>160</v>
      </c>
    </row>
    <row r="606" spans="1:7" x14ac:dyDescent="0.4">
      <c r="A606" s="2">
        <v>605</v>
      </c>
      <c r="B606" s="2" t="s">
        <v>4</v>
      </c>
      <c r="C606" s="2" t="s">
        <v>159</v>
      </c>
      <c r="D606" s="3" t="s">
        <v>158</v>
      </c>
      <c r="E606" s="3" t="str">
        <f>"富谷市ひより台１－４５－１"</f>
        <v>富谷市ひより台１－４５－１</v>
      </c>
      <c r="F606" s="2" t="str">
        <f>"022-358-2872  "</f>
        <v xml:space="preserve">022-358-2872  </v>
      </c>
      <c r="G606" s="3" t="s">
        <v>26</v>
      </c>
    </row>
    <row r="607" spans="1:7" x14ac:dyDescent="0.4">
      <c r="A607" s="2">
        <v>606</v>
      </c>
      <c r="B607" s="2" t="s">
        <v>4</v>
      </c>
      <c r="C607" s="2" t="s">
        <v>157</v>
      </c>
      <c r="D607" s="3" t="s">
        <v>152</v>
      </c>
      <c r="E607" s="3" t="str">
        <f>"富谷市上桜木２－１－６"</f>
        <v>富谷市上桜木２－１－６</v>
      </c>
      <c r="F607" s="2" t="str">
        <f>"022-779-1470  "</f>
        <v xml:space="preserve">022-779-1470  </v>
      </c>
      <c r="G607" s="3" t="s">
        <v>18</v>
      </c>
    </row>
    <row r="608" spans="1:7" x14ac:dyDescent="0.4">
      <c r="A608" s="2">
        <v>607</v>
      </c>
      <c r="B608" s="2" t="s">
        <v>4</v>
      </c>
      <c r="C608" s="2" t="s">
        <v>156</v>
      </c>
      <c r="D608" s="3" t="s">
        <v>152</v>
      </c>
      <c r="E608" s="3" t="str">
        <f>"富谷市上桜木２－１－６"</f>
        <v>富谷市上桜木２－１－６</v>
      </c>
      <c r="F608" s="2" t="str">
        <f>"022-779-1470  "</f>
        <v xml:space="preserve">022-779-1470  </v>
      </c>
      <c r="G608" s="3" t="s">
        <v>36</v>
      </c>
    </row>
    <row r="609" spans="1:7" x14ac:dyDescent="0.4">
      <c r="A609" s="2">
        <v>608</v>
      </c>
      <c r="B609" s="2" t="s">
        <v>4</v>
      </c>
      <c r="C609" s="2" t="s">
        <v>155</v>
      </c>
      <c r="D609" s="3" t="s">
        <v>152</v>
      </c>
      <c r="E609" s="3" t="str">
        <f>"富谷市上桜木2－1－6"</f>
        <v>富谷市上桜木2－1－6</v>
      </c>
      <c r="F609" s="2" t="str">
        <f>"022-779-1470  "</f>
        <v xml:space="preserve">022-779-1470  </v>
      </c>
      <c r="G609" s="3" t="s">
        <v>9</v>
      </c>
    </row>
    <row r="610" spans="1:7" x14ac:dyDescent="0.4">
      <c r="A610" s="2">
        <v>609</v>
      </c>
      <c r="B610" s="2" t="s">
        <v>4</v>
      </c>
      <c r="C610" s="2" t="s">
        <v>154</v>
      </c>
      <c r="D610" s="3" t="s">
        <v>152</v>
      </c>
      <c r="E610" s="3" t="str">
        <f>"富谷市上桜木２－１－６"</f>
        <v>富谷市上桜木２－１－６</v>
      </c>
      <c r="F610" s="2" t="str">
        <f>"022-779-1470  "</f>
        <v xml:space="preserve">022-779-1470  </v>
      </c>
      <c r="G610" s="3" t="s">
        <v>18</v>
      </c>
    </row>
    <row r="611" spans="1:7" x14ac:dyDescent="0.4">
      <c r="A611" s="2">
        <v>610</v>
      </c>
      <c r="B611" s="2" t="s">
        <v>4</v>
      </c>
      <c r="C611" s="2" t="s">
        <v>153</v>
      </c>
      <c r="D611" s="3" t="s">
        <v>152</v>
      </c>
      <c r="E611" s="3" t="str">
        <f>"富谷市上桜木2-1-6"</f>
        <v>富谷市上桜木2-1-6</v>
      </c>
      <c r="F611" s="2" t="str">
        <f>"022-779-1470  "</f>
        <v xml:space="preserve">022-779-1470  </v>
      </c>
      <c r="G611" s="3" t="s">
        <v>79</v>
      </c>
    </row>
    <row r="612" spans="1:7" ht="37.5" x14ac:dyDescent="0.4">
      <c r="A612" s="2">
        <v>611</v>
      </c>
      <c r="B612" s="2" t="s">
        <v>4</v>
      </c>
      <c r="C612" s="2" t="s">
        <v>151</v>
      </c>
      <c r="D612" s="3" t="s">
        <v>150</v>
      </c>
      <c r="E612" s="3" t="str">
        <f>"富谷市上桜木２－３－１４"</f>
        <v>富谷市上桜木２－３－１４</v>
      </c>
      <c r="F612" s="2" t="str">
        <f>"022-779-1377  "</f>
        <v xml:space="preserve">022-779-1377  </v>
      </c>
      <c r="G612" s="3" t="s">
        <v>149</v>
      </c>
    </row>
    <row r="613" spans="1:7" x14ac:dyDescent="0.4">
      <c r="A613" s="2">
        <v>612</v>
      </c>
      <c r="B613" s="2" t="s">
        <v>4</v>
      </c>
      <c r="C613" s="2" t="s">
        <v>148</v>
      </c>
      <c r="D613" s="3" t="s">
        <v>147</v>
      </c>
      <c r="E613" s="3" t="s">
        <v>146</v>
      </c>
      <c r="F613" s="2" t="str">
        <f>"022-779-1470  "</f>
        <v xml:space="preserve">022-779-1470  </v>
      </c>
      <c r="G613" s="3" t="s">
        <v>5</v>
      </c>
    </row>
    <row r="614" spans="1:7" ht="37.5" x14ac:dyDescent="0.4">
      <c r="A614" s="2">
        <v>613</v>
      </c>
      <c r="B614" s="2" t="s">
        <v>4</v>
      </c>
      <c r="C614" s="2" t="s">
        <v>145</v>
      </c>
      <c r="D614" s="3" t="s">
        <v>144</v>
      </c>
      <c r="E614" s="3" t="str">
        <f>"富谷市成田１－３－１"</f>
        <v>富谷市成田１－３－１</v>
      </c>
      <c r="F614" s="2" t="str">
        <f>"022-351-8118  "</f>
        <v xml:space="preserve">022-351-8118  </v>
      </c>
      <c r="G614" s="3" t="s">
        <v>39</v>
      </c>
    </row>
    <row r="615" spans="1:7" x14ac:dyDescent="0.4">
      <c r="A615" s="2">
        <v>614</v>
      </c>
      <c r="B615" s="2" t="s">
        <v>4</v>
      </c>
      <c r="C615" s="2" t="s">
        <v>143</v>
      </c>
      <c r="D615" s="3" t="s">
        <v>142</v>
      </c>
      <c r="E615" s="3" t="s">
        <v>141</v>
      </c>
      <c r="F615" s="2" t="str">
        <f>"022-351-8033  "</f>
        <v xml:space="preserve">022-351-8033  </v>
      </c>
      <c r="G615" s="3" t="s">
        <v>75</v>
      </c>
    </row>
    <row r="616" spans="1:7" ht="37.5" x14ac:dyDescent="0.4">
      <c r="A616" s="2">
        <v>615</v>
      </c>
      <c r="B616" s="2" t="s">
        <v>4</v>
      </c>
      <c r="C616" s="2" t="s">
        <v>140</v>
      </c>
      <c r="D616" s="3" t="s">
        <v>139</v>
      </c>
      <c r="E616" s="3" t="str">
        <f>"富谷市日吉台2-34-2-1"</f>
        <v>富谷市日吉台2-34-2-1</v>
      </c>
      <c r="F616" s="2" t="str">
        <f>"022-725-7201  "</f>
        <v xml:space="preserve">022-725-7201  </v>
      </c>
      <c r="G616" s="3" t="s">
        <v>138</v>
      </c>
    </row>
    <row r="617" spans="1:7" x14ac:dyDescent="0.4">
      <c r="A617" s="2">
        <v>616</v>
      </c>
      <c r="B617" s="2" t="s">
        <v>4</v>
      </c>
      <c r="C617" s="2" t="s">
        <v>137</v>
      </c>
      <c r="D617" s="3" t="s">
        <v>136</v>
      </c>
      <c r="E617" s="3" t="str">
        <f>"富谷市富ケ丘２－１１－５４"</f>
        <v>富谷市富ケ丘２－１１－５４</v>
      </c>
      <c r="F617" s="2" t="s">
        <v>135</v>
      </c>
      <c r="G617" s="3" t="s">
        <v>5</v>
      </c>
    </row>
    <row r="618" spans="1:7" x14ac:dyDescent="0.4">
      <c r="A618" s="2">
        <v>617</v>
      </c>
      <c r="B618" s="2" t="s">
        <v>4</v>
      </c>
      <c r="C618" s="2" t="s">
        <v>134</v>
      </c>
      <c r="D618" s="3" t="s">
        <v>133</v>
      </c>
      <c r="E618" s="3" t="str">
        <f>"富谷市富ケ丘２丁目１１－４３"</f>
        <v>富谷市富ケ丘２丁目１１－４３</v>
      </c>
      <c r="F618" s="2" t="str">
        <f>"022-341-8831  "</f>
        <v xml:space="preserve">022-341-8831  </v>
      </c>
      <c r="G618" s="3" t="s">
        <v>132</v>
      </c>
    </row>
    <row r="619" spans="1:7" x14ac:dyDescent="0.4">
      <c r="A619" s="2">
        <v>618</v>
      </c>
      <c r="B619" s="2" t="s">
        <v>4</v>
      </c>
      <c r="C619" s="2" t="s">
        <v>131</v>
      </c>
      <c r="D619" s="3" t="s">
        <v>130</v>
      </c>
      <c r="E619" s="3" t="s">
        <v>129</v>
      </c>
      <c r="F619" s="2" t="str">
        <f>"022-343-5512  "</f>
        <v xml:space="preserve">022-343-5512  </v>
      </c>
      <c r="G619" s="3" t="s">
        <v>128</v>
      </c>
    </row>
    <row r="620" spans="1:7" x14ac:dyDescent="0.4">
      <c r="A620" s="2">
        <v>619</v>
      </c>
      <c r="B620" s="2" t="s">
        <v>4</v>
      </c>
      <c r="C620" s="2" t="s">
        <v>127</v>
      </c>
      <c r="D620" s="3" t="s">
        <v>126</v>
      </c>
      <c r="E620" s="3" t="str">
        <f>"富谷市明石台５－１－４"</f>
        <v>富谷市明石台５－１－４</v>
      </c>
      <c r="F620" s="2" t="str">
        <f>"022-343-6086  "</f>
        <v xml:space="preserve">022-343-6086  </v>
      </c>
      <c r="G620" s="3" t="s">
        <v>79</v>
      </c>
    </row>
    <row r="621" spans="1:7" x14ac:dyDescent="0.4">
      <c r="A621" s="2">
        <v>620</v>
      </c>
      <c r="B621" s="2" t="s">
        <v>4</v>
      </c>
      <c r="C621" s="2" t="s">
        <v>125</v>
      </c>
      <c r="D621" s="3" t="s">
        <v>124</v>
      </c>
      <c r="E621" s="3" t="str">
        <f>"富谷市明石台７丁目１－６２－ｂ"</f>
        <v>富谷市明石台７丁目１－６２－ｂ</v>
      </c>
      <c r="F621" s="2" t="str">
        <f>"022-341-9671  "</f>
        <v xml:space="preserve">022-341-9671  </v>
      </c>
      <c r="G621" s="3" t="s">
        <v>46</v>
      </c>
    </row>
    <row r="622" spans="1:7" ht="37.5" x14ac:dyDescent="0.4">
      <c r="A622" s="2">
        <v>621</v>
      </c>
      <c r="B622" s="2" t="s">
        <v>4</v>
      </c>
      <c r="C622" s="2" t="s">
        <v>123</v>
      </c>
      <c r="D622" s="3" t="s">
        <v>122</v>
      </c>
      <c r="E622" s="3" t="s">
        <v>121</v>
      </c>
      <c r="F622" s="2" t="str">
        <f>"022-358-1976  "</f>
        <v xml:space="preserve">022-358-1976  </v>
      </c>
      <c r="G622" s="3" t="s">
        <v>120</v>
      </c>
    </row>
    <row r="623" spans="1:7" x14ac:dyDescent="0.4">
      <c r="A623" s="2">
        <v>622</v>
      </c>
      <c r="B623" s="2" t="s">
        <v>4</v>
      </c>
      <c r="C623" s="2" t="s">
        <v>119</v>
      </c>
      <c r="D623" s="3" t="s">
        <v>118</v>
      </c>
      <c r="E623" s="3" t="str">
        <f>"本吉郡南三陸町歌津字枡沢９３－１"</f>
        <v>本吉郡南三陸町歌津字枡沢９３－１</v>
      </c>
      <c r="F623" s="2" t="str">
        <f>"0226-36-2626  "</f>
        <v xml:space="preserve">0226-36-2626  </v>
      </c>
      <c r="G623" s="3" t="s">
        <v>117</v>
      </c>
    </row>
    <row r="624" spans="1:7" x14ac:dyDescent="0.4">
      <c r="A624" s="2">
        <v>623</v>
      </c>
      <c r="B624" s="2" t="s">
        <v>4</v>
      </c>
      <c r="C624" s="2" t="s">
        <v>116</v>
      </c>
      <c r="D624" s="3" t="s">
        <v>111</v>
      </c>
      <c r="E624" s="3" t="str">
        <f>"本吉郡南三陸町志津川字沼田14-3"</f>
        <v>本吉郡南三陸町志津川字沼田14-3</v>
      </c>
      <c r="F624" s="2" t="str">
        <f>"0226-46-3646  "</f>
        <v xml:space="preserve">0226-46-3646  </v>
      </c>
      <c r="G624" s="3" t="s">
        <v>115</v>
      </c>
    </row>
    <row r="625" spans="1:7" x14ac:dyDescent="0.4">
      <c r="A625" s="2">
        <v>624</v>
      </c>
      <c r="B625" s="2" t="s">
        <v>4</v>
      </c>
      <c r="C625" s="2" t="s">
        <v>114</v>
      </c>
      <c r="D625" s="3" t="s">
        <v>111</v>
      </c>
      <c r="E625" s="3" t="s">
        <v>113</v>
      </c>
      <c r="F625" s="2" t="str">
        <f>"0226-46-3646  "</f>
        <v xml:space="preserve">0226-46-3646  </v>
      </c>
      <c r="G625" s="3" t="s">
        <v>26</v>
      </c>
    </row>
    <row r="626" spans="1:7" x14ac:dyDescent="0.4">
      <c r="A626" s="2">
        <v>625</v>
      </c>
      <c r="B626" s="2" t="s">
        <v>4</v>
      </c>
      <c r="C626" s="2" t="s">
        <v>112</v>
      </c>
      <c r="D626" s="3" t="s">
        <v>111</v>
      </c>
      <c r="E626" s="3" t="s">
        <v>110</v>
      </c>
      <c r="F626" s="2" t="str">
        <f>"0226-46-3646  "</f>
        <v xml:space="preserve">0226-46-3646  </v>
      </c>
      <c r="G626" s="3" t="s">
        <v>26</v>
      </c>
    </row>
    <row r="627" spans="1:7" x14ac:dyDescent="0.4">
      <c r="A627" s="2">
        <v>626</v>
      </c>
      <c r="B627" s="2" t="s">
        <v>4</v>
      </c>
      <c r="C627" s="2" t="s">
        <v>109</v>
      </c>
      <c r="D627" s="3" t="s">
        <v>108</v>
      </c>
      <c r="E627" s="3" t="str">
        <f>"名取市みどり台２－４－３"</f>
        <v>名取市みどり台２－４－３</v>
      </c>
      <c r="F627" s="2" t="str">
        <f>"022-386-8333  "</f>
        <v xml:space="preserve">022-386-8333  </v>
      </c>
      <c r="G627" s="3" t="s">
        <v>107</v>
      </c>
    </row>
    <row r="628" spans="1:7" x14ac:dyDescent="0.4">
      <c r="A628" s="2">
        <v>627</v>
      </c>
      <c r="B628" s="2" t="s">
        <v>4</v>
      </c>
      <c r="C628" s="2" t="s">
        <v>106</v>
      </c>
      <c r="D628" s="3" t="s">
        <v>105</v>
      </c>
      <c r="E628" s="3" t="str">
        <f>"名取市愛の杜１－２－１"</f>
        <v>名取市愛の杜１－２－１</v>
      </c>
      <c r="F628" s="2" t="str">
        <f>"022-784-1550  "</f>
        <v xml:space="preserve">022-784-1550  </v>
      </c>
      <c r="G628" s="3" t="s">
        <v>104</v>
      </c>
    </row>
    <row r="629" spans="1:7" x14ac:dyDescent="0.4">
      <c r="A629" s="2">
        <v>628</v>
      </c>
      <c r="B629" s="2" t="s">
        <v>4</v>
      </c>
      <c r="C629" s="2" t="s">
        <v>103</v>
      </c>
      <c r="D629" s="3" t="s">
        <v>83</v>
      </c>
      <c r="E629" s="3" t="str">
        <f>"名取市愛島塩手字野田山47－1"</f>
        <v>名取市愛島塩手字野田山47－1</v>
      </c>
      <c r="F629" s="2" t="str">
        <f t="shared" ref="F629:F643" si="24">"022-384-3151  "</f>
        <v xml:space="preserve">022-384-3151  </v>
      </c>
      <c r="G629" s="3" t="s">
        <v>53</v>
      </c>
    </row>
    <row r="630" spans="1:7" x14ac:dyDescent="0.4">
      <c r="A630" s="2">
        <v>629</v>
      </c>
      <c r="B630" s="2" t="s">
        <v>4</v>
      </c>
      <c r="C630" s="2" t="s">
        <v>102</v>
      </c>
      <c r="D630" s="3" t="s">
        <v>83</v>
      </c>
      <c r="E630" s="3" t="str">
        <f>"名取市愛島塩手字野田山47－1"</f>
        <v>名取市愛島塩手字野田山47－1</v>
      </c>
      <c r="F630" s="2" t="str">
        <f t="shared" si="24"/>
        <v xml:space="preserve">022-384-3151  </v>
      </c>
      <c r="G630" s="3" t="s">
        <v>82</v>
      </c>
    </row>
    <row r="631" spans="1:7" x14ac:dyDescent="0.4">
      <c r="A631" s="2">
        <v>630</v>
      </c>
      <c r="B631" s="2" t="s">
        <v>4</v>
      </c>
      <c r="C631" s="2" t="s">
        <v>101</v>
      </c>
      <c r="D631" s="3" t="s">
        <v>83</v>
      </c>
      <c r="E631" s="3" t="str">
        <f>"名取市愛島塩手字野田山４７－１"</f>
        <v>名取市愛島塩手字野田山４７－１</v>
      </c>
      <c r="F631" s="2" t="str">
        <f t="shared" si="24"/>
        <v xml:space="preserve">022-384-3151  </v>
      </c>
      <c r="G631" s="3" t="s">
        <v>82</v>
      </c>
    </row>
    <row r="632" spans="1:7" x14ac:dyDescent="0.4">
      <c r="A632" s="2">
        <v>631</v>
      </c>
      <c r="B632" s="2" t="s">
        <v>4</v>
      </c>
      <c r="C632" s="2" t="s">
        <v>100</v>
      </c>
      <c r="D632" s="3" t="s">
        <v>83</v>
      </c>
      <c r="E632" s="3" t="str">
        <f>"名取市愛島塩手字野田山47－1"</f>
        <v>名取市愛島塩手字野田山47－1</v>
      </c>
      <c r="F632" s="2" t="str">
        <f t="shared" si="24"/>
        <v xml:space="preserve">022-384-3151  </v>
      </c>
      <c r="G632" s="3" t="s">
        <v>82</v>
      </c>
    </row>
    <row r="633" spans="1:7" x14ac:dyDescent="0.4">
      <c r="A633" s="2">
        <v>632</v>
      </c>
      <c r="B633" s="2" t="s">
        <v>4</v>
      </c>
      <c r="C633" s="2" t="s">
        <v>99</v>
      </c>
      <c r="D633" s="3" t="s">
        <v>83</v>
      </c>
      <c r="E633" s="3" t="str">
        <f>"名取市愛島塩手字野田山47－1"</f>
        <v>名取市愛島塩手字野田山47－1</v>
      </c>
      <c r="F633" s="2" t="str">
        <f t="shared" si="24"/>
        <v xml:space="preserve">022-384-3151  </v>
      </c>
      <c r="G633" s="3" t="s">
        <v>88</v>
      </c>
    </row>
    <row r="634" spans="1:7" x14ac:dyDescent="0.4">
      <c r="A634" s="2">
        <v>633</v>
      </c>
      <c r="B634" s="2" t="s">
        <v>4</v>
      </c>
      <c r="C634" s="2" t="s">
        <v>98</v>
      </c>
      <c r="D634" s="3" t="s">
        <v>83</v>
      </c>
      <c r="E634" s="3" t="str">
        <f t="shared" ref="E634:E642" si="25">"名取市愛島塩手字野田山４７－１"</f>
        <v>名取市愛島塩手字野田山４７－１</v>
      </c>
      <c r="F634" s="2" t="str">
        <f t="shared" si="24"/>
        <v xml:space="preserve">022-384-3151  </v>
      </c>
      <c r="G634" s="3" t="s">
        <v>97</v>
      </c>
    </row>
    <row r="635" spans="1:7" x14ac:dyDescent="0.4">
      <c r="A635" s="2">
        <v>634</v>
      </c>
      <c r="B635" s="2" t="s">
        <v>4</v>
      </c>
      <c r="C635" s="2" t="s">
        <v>96</v>
      </c>
      <c r="D635" s="3" t="s">
        <v>83</v>
      </c>
      <c r="E635" s="3" t="str">
        <f t="shared" si="25"/>
        <v>名取市愛島塩手字野田山４７－１</v>
      </c>
      <c r="F635" s="2" t="str">
        <f t="shared" si="24"/>
        <v xml:space="preserve">022-384-3151  </v>
      </c>
      <c r="G635" s="3" t="s">
        <v>53</v>
      </c>
    </row>
    <row r="636" spans="1:7" x14ac:dyDescent="0.4">
      <c r="A636" s="2">
        <v>635</v>
      </c>
      <c r="B636" s="2" t="s">
        <v>4</v>
      </c>
      <c r="C636" s="2" t="s">
        <v>95</v>
      </c>
      <c r="D636" s="3" t="s">
        <v>83</v>
      </c>
      <c r="E636" s="3" t="str">
        <f t="shared" si="25"/>
        <v>名取市愛島塩手字野田山４７－１</v>
      </c>
      <c r="F636" s="2" t="str">
        <f t="shared" si="24"/>
        <v xml:space="preserve">022-384-3151  </v>
      </c>
      <c r="G636" s="3" t="s">
        <v>53</v>
      </c>
    </row>
    <row r="637" spans="1:7" x14ac:dyDescent="0.4">
      <c r="A637" s="2">
        <v>636</v>
      </c>
      <c r="B637" s="2" t="s">
        <v>4</v>
      </c>
      <c r="C637" s="2" t="s">
        <v>94</v>
      </c>
      <c r="D637" s="3" t="s">
        <v>83</v>
      </c>
      <c r="E637" s="3" t="str">
        <f t="shared" si="25"/>
        <v>名取市愛島塩手字野田山４７－１</v>
      </c>
      <c r="F637" s="2" t="str">
        <f t="shared" si="24"/>
        <v xml:space="preserve">022-384-3151  </v>
      </c>
      <c r="G637" s="3" t="s">
        <v>93</v>
      </c>
    </row>
    <row r="638" spans="1:7" x14ac:dyDescent="0.4">
      <c r="A638" s="2">
        <v>637</v>
      </c>
      <c r="B638" s="2" t="s">
        <v>4</v>
      </c>
      <c r="C638" s="2" t="s">
        <v>92</v>
      </c>
      <c r="D638" s="3" t="s">
        <v>83</v>
      </c>
      <c r="E638" s="3" t="str">
        <f t="shared" si="25"/>
        <v>名取市愛島塩手字野田山４７－１</v>
      </c>
      <c r="F638" s="2" t="str">
        <f t="shared" si="24"/>
        <v xml:space="preserve">022-384-3151  </v>
      </c>
      <c r="G638" s="3" t="s">
        <v>53</v>
      </c>
    </row>
    <row r="639" spans="1:7" x14ac:dyDescent="0.4">
      <c r="A639" s="2">
        <v>638</v>
      </c>
      <c r="B639" s="2" t="s">
        <v>4</v>
      </c>
      <c r="C639" s="2" t="s">
        <v>91</v>
      </c>
      <c r="D639" s="3" t="s">
        <v>83</v>
      </c>
      <c r="E639" s="3" t="str">
        <f t="shared" si="25"/>
        <v>名取市愛島塩手字野田山４７－１</v>
      </c>
      <c r="F639" s="2" t="str">
        <f t="shared" si="24"/>
        <v xml:space="preserve">022-384-3151  </v>
      </c>
      <c r="G639" s="3" t="s">
        <v>90</v>
      </c>
    </row>
    <row r="640" spans="1:7" x14ac:dyDescent="0.4">
      <c r="A640" s="2">
        <v>639</v>
      </c>
      <c r="B640" s="2" t="s">
        <v>4</v>
      </c>
      <c r="C640" s="2" t="s">
        <v>89</v>
      </c>
      <c r="D640" s="3" t="s">
        <v>83</v>
      </c>
      <c r="E640" s="3" t="str">
        <f t="shared" si="25"/>
        <v>名取市愛島塩手字野田山４７－１</v>
      </c>
      <c r="F640" s="2" t="str">
        <f t="shared" si="24"/>
        <v xml:space="preserve">022-384-3151  </v>
      </c>
      <c r="G640" s="3" t="s">
        <v>88</v>
      </c>
    </row>
    <row r="641" spans="1:7" x14ac:dyDescent="0.4">
      <c r="A641" s="2">
        <v>640</v>
      </c>
      <c r="B641" s="2" t="s">
        <v>4</v>
      </c>
      <c r="C641" s="2" t="s">
        <v>87</v>
      </c>
      <c r="D641" s="3" t="s">
        <v>83</v>
      </c>
      <c r="E641" s="3" t="str">
        <f t="shared" si="25"/>
        <v>名取市愛島塩手字野田山４７－１</v>
      </c>
      <c r="F641" s="2" t="str">
        <f t="shared" si="24"/>
        <v xml:space="preserve">022-384-3151  </v>
      </c>
      <c r="G641" s="3" t="s">
        <v>86</v>
      </c>
    </row>
    <row r="642" spans="1:7" x14ac:dyDescent="0.4">
      <c r="A642" s="2">
        <v>641</v>
      </c>
      <c r="B642" s="2" t="s">
        <v>4</v>
      </c>
      <c r="C642" s="2" t="s">
        <v>85</v>
      </c>
      <c r="D642" s="3" t="s">
        <v>83</v>
      </c>
      <c r="E642" s="3" t="str">
        <f t="shared" si="25"/>
        <v>名取市愛島塩手字野田山４７－１</v>
      </c>
      <c r="F642" s="2" t="str">
        <f t="shared" si="24"/>
        <v xml:space="preserve">022-384-3151  </v>
      </c>
      <c r="G642" s="3" t="s">
        <v>82</v>
      </c>
    </row>
    <row r="643" spans="1:7" x14ac:dyDescent="0.4">
      <c r="A643" s="2">
        <v>642</v>
      </c>
      <c r="B643" s="2" t="s">
        <v>4</v>
      </c>
      <c r="C643" s="2" t="s">
        <v>84</v>
      </c>
      <c r="D643" s="3" t="s">
        <v>83</v>
      </c>
      <c r="E643" s="3" t="str">
        <f>"名取市愛島塩手野田山４７－１"</f>
        <v>名取市愛島塩手野田山４７－１</v>
      </c>
      <c r="F643" s="2" t="str">
        <f t="shared" si="24"/>
        <v xml:space="preserve">022-384-3151  </v>
      </c>
      <c r="G643" s="3" t="s">
        <v>82</v>
      </c>
    </row>
    <row r="644" spans="1:7" x14ac:dyDescent="0.4">
      <c r="A644" s="2">
        <v>643</v>
      </c>
      <c r="B644" s="2" t="s">
        <v>4</v>
      </c>
      <c r="C644" s="2" t="s">
        <v>81</v>
      </c>
      <c r="D644" s="3" t="s">
        <v>80</v>
      </c>
      <c r="E644" s="3" t="str">
        <f>"名取市下余田字鹿島８６－５"</f>
        <v>名取市下余田字鹿島８６－５</v>
      </c>
      <c r="F644" s="2" t="str">
        <f>"022-383-3070  "</f>
        <v xml:space="preserve">022-383-3070  </v>
      </c>
      <c r="G644" s="3" t="s">
        <v>79</v>
      </c>
    </row>
    <row r="645" spans="1:7" ht="37.5" x14ac:dyDescent="0.4">
      <c r="A645" s="2">
        <v>644</v>
      </c>
      <c r="B645" s="2" t="s">
        <v>4</v>
      </c>
      <c r="C645" s="2" t="s">
        <v>78</v>
      </c>
      <c r="D645" s="3" t="s">
        <v>77</v>
      </c>
      <c r="E645" s="3" t="s">
        <v>76</v>
      </c>
      <c r="F645" s="2" t="str">
        <f>"022-797-9393  "</f>
        <v xml:space="preserve">022-797-9393  </v>
      </c>
      <c r="G645" s="3" t="s">
        <v>75</v>
      </c>
    </row>
    <row r="646" spans="1:7" x14ac:dyDescent="0.4">
      <c r="A646" s="2">
        <v>645</v>
      </c>
      <c r="B646" s="2" t="s">
        <v>4</v>
      </c>
      <c r="C646" s="2" t="s">
        <v>74</v>
      </c>
      <c r="D646" s="3" t="s">
        <v>73</v>
      </c>
      <c r="E646" s="3" t="str">
        <f>"名取市高舘熊野堂岩口下６８-１"</f>
        <v>名取市高舘熊野堂岩口下６８-１</v>
      </c>
      <c r="F646" s="2" t="str">
        <f>"022-386-2131  "</f>
        <v xml:space="preserve">022-386-2131  </v>
      </c>
      <c r="G646" s="3" t="s">
        <v>72</v>
      </c>
    </row>
    <row r="647" spans="1:7" x14ac:dyDescent="0.4">
      <c r="A647" s="2">
        <v>646</v>
      </c>
      <c r="B647" s="2" t="s">
        <v>4</v>
      </c>
      <c r="C647" s="2" t="s">
        <v>71</v>
      </c>
      <c r="D647" s="3" t="s">
        <v>70</v>
      </c>
      <c r="E647" s="3" t="s">
        <v>69</v>
      </c>
      <c r="F647" s="2" t="str">
        <f>"022-381-5233  "</f>
        <v xml:space="preserve">022-381-5233  </v>
      </c>
      <c r="G647" s="3" t="s">
        <v>41</v>
      </c>
    </row>
    <row r="648" spans="1:7" x14ac:dyDescent="0.4">
      <c r="A648" s="2">
        <v>647</v>
      </c>
      <c r="B648" s="2" t="s">
        <v>4</v>
      </c>
      <c r="C648" s="2" t="s">
        <v>68</v>
      </c>
      <c r="D648" s="3" t="s">
        <v>67</v>
      </c>
      <c r="E648" s="3" t="str">
        <f>"名取市手倉田諏訪５６５－１"</f>
        <v>名取市手倉田諏訪５６５－１</v>
      </c>
      <c r="F648" s="2" t="str">
        <f>"022-384-1883  "</f>
        <v xml:space="preserve">022-384-1883  </v>
      </c>
      <c r="G648" s="3" t="s">
        <v>26</v>
      </c>
    </row>
    <row r="649" spans="1:7" ht="37.5" x14ac:dyDescent="0.4">
      <c r="A649" s="2">
        <v>648</v>
      </c>
      <c r="B649" s="2" t="s">
        <v>4</v>
      </c>
      <c r="C649" s="2" t="s">
        <v>66</v>
      </c>
      <c r="D649" s="3" t="s">
        <v>65</v>
      </c>
      <c r="E649" s="3" t="str">
        <f>"名取市手倉田八幡338－８"</f>
        <v>名取市手倉田八幡338－８</v>
      </c>
      <c r="F649" s="2" t="str">
        <f>"022-381-6868  "</f>
        <v xml:space="preserve">022-381-6868  </v>
      </c>
      <c r="G649" s="3" t="s">
        <v>64</v>
      </c>
    </row>
    <row r="650" spans="1:7" ht="37.5" x14ac:dyDescent="0.4">
      <c r="A650" s="2">
        <v>649</v>
      </c>
      <c r="B650" s="2" t="s">
        <v>4</v>
      </c>
      <c r="C650" s="2" t="s">
        <v>63</v>
      </c>
      <c r="D650" s="3" t="s">
        <v>62</v>
      </c>
      <c r="E650" s="3" t="str">
        <f>"名取市増田２－６－１２"</f>
        <v>名取市増田２－６－１２</v>
      </c>
      <c r="F650" s="2" t="str">
        <f>"022-384-3428  "</f>
        <v xml:space="preserve">022-384-3428  </v>
      </c>
      <c r="G650" s="3" t="s">
        <v>5</v>
      </c>
    </row>
    <row r="651" spans="1:7" ht="37.5" x14ac:dyDescent="0.4">
      <c r="A651" s="2">
        <v>650</v>
      </c>
      <c r="B651" s="2" t="s">
        <v>4</v>
      </c>
      <c r="C651" s="2" t="s">
        <v>61</v>
      </c>
      <c r="D651" s="3" t="s">
        <v>60</v>
      </c>
      <c r="E651" s="3" t="str">
        <f>"名取市増田6-2-8"</f>
        <v>名取市増田6-2-8</v>
      </c>
      <c r="F651" s="2" t="str">
        <f>"022-384-8052  "</f>
        <v xml:space="preserve">022-384-8052  </v>
      </c>
      <c r="G651" s="3" t="s">
        <v>59</v>
      </c>
    </row>
    <row r="652" spans="1:7" x14ac:dyDescent="0.4">
      <c r="A652" s="2">
        <v>651</v>
      </c>
      <c r="B652" s="2" t="s">
        <v>4</v>
      </c>
      <c r="C652" s="2" t="s">
        <v>58</v>
      </c>
      <c r="D652" s="3" t="s">
        <v>57</v>
      </c>
      <c r="E652" s="3" t="str">
        <f>"名取市増田７－３－９"</f>
        <v>名取市増田７－３－９</v>
      </c>
      <c r="F652" s="2" t="str">
        <f>"022-382-1117  "</f>
        <v xml:space="preserve">022-382-1117  </v>
      </c>
      <c r="G652" s="3" t="s">
        <v>5</v>
      </c>
    </row>
    <row r="653" spans="1:7" x14ac:dyDescent="0.4">
      <c r="A653" s="2">
        <v>652</v>
      </c>
      <c r="B653" s="2" t="s">
        <v>4</v>
      </c>
      <c r="C653" s="2" t="s">
        <v>56</v>
      </c>
      <c r="D653" s="3" t="s">
        <v>55</v>
      </c>
      <c r="E653" s="3" t="s">
        <v>54</v>
      </c>
      <c r="F653" s="2" t="str">
        <f>"022-383-5252  "</f>
        <v xml:space="preserve">022-383-5252  </v>
      </c>
      <c r="G653" s="3" t="s">
        <v>53</v>
      </c>
    </row>
    <row r="654" spans="1:7" ht="37.5" x14ac:dyDescent="0.4">
      <c r="A654" s="2">
        <v>653</v>
      </c>
      <c r="B654" s="2" t="s">
        <v>4</v>
      </c>
      <c r="C654" s="2" t="s">
        <v>52</v>
      </c>
      <c r="D654" s="3" t="s">
        <v>51</v>
      </c>
      <c r="E654" s="3" t="s">
        <v>50</v>
      </c>
      <c r="F654" s="2" t="str">
        <f>"022-302-7967  "</f>
        <v xml:space="preserve">022-302-7967  </v>
      </c>
      <c r="G654" s="3" t="s">
        <v>49</v>
      </c>
    </row>
    <row r="655" spans="1:7" x14ac:dyDescent="0.4">
      <c r="A655" s="2">
        <v>654</v>
      </c>
      <c r="B655" s="2" t="s">
        <v>4</v>
      </c>
      <c r="C655" s="2" t="s">
        <v>48</v>
      </c>
      <c r="D655" s="3" t="s">
        <v>47</v>
      </c>
      <c r="E655" s="3" t="str">
        <f>"名取市杜せきのした２－５－７"</f>
        <v>名取市杜せきのした２－５－７</v>
      </c>
      <c r="F655" s="2" t="str">
        <f>"022-302-7125  "</f>
        <v xml:space="preserve">022-302-7125  </v>
      </c>
      <c r="G655" s="3" t="s">
        <v>46</v>
      </c>
    </row>
    <row r="656" spans="1:7" x14ac:dyDescent="0.4">
      <c r="A656" s="2">
        <v>655</v>
      </c>
      <c r="B656" s="2" t="s">
        <v>4</v>
      </c>
      <c r="C656" s="2" t="s">
        <v>45</v>
      </c>
      <c r="D656" s="3" t="s">
        <v>44</v>
      </c>
      <c r="E656" s="3" t="str">
        <f>"名取市杜せきのした2－6－5"</f>
        <v>名取市杜せきのした2－6－5</v>
      </c>
      <c r="F656" s="2" t="str">
        <f>"022-341-6288  "</f>
        <v xml:space="preserve">022-341-6288  </v>
      </c>
      <c r="G656" s="3" t="s">
        <v>5</v>
      </c>
    </row>
    <row r="657" spans="1:7" x14ac:dyDescent="0.4">
      <c r="A657" s="2">
        <v>656</v>
      </c>
      <c r="B657" s="2" t="s">
        <v>4</v>
      </c>
      <c r="C657" s="2" t="s">
        <v>43</v>
      </c>
      <c r="D657" s="3" t="s">
        <v>42</v>
      </c>
      <c r="E657" s="3" t="str">
        <f>"名取市箱塚１－１９－３５"</f>
        <v>名取市箱塚１－１９－３５</v>
      </c>
      <c r="F657" s="2" t="str">
        <f>"022-381-5080  "</f>
        <v xml:space="preserve">022-381-5080  </v>
      </c>
      <c r="G657" s="3" t="s">
        <v>41</v>
      </c>
    </row>
    <row r="658" spans="1:7" ht="37.5" x14ac:dyDescent="0.4">
      <c r="A658" s="2">
        <v>657</v>
      </c>
      <c r="B658" s="2" t="s">
        <v>4</v>
      </c>
      <c r="C658" s="2" t="s">
        <v>40</v>
      </c>
      <c r="D658" s="3" t="s">
        <v>34</v>
      </c>
      <c r="E658" s="3" t="str">
        <f>"名取市美田園２－１－４"</f>
        <v>名取市美田園２－１－４</v>
      </c>
      <c r="F658" s="2" t="str">
        <f>"022-784-3592  "</f>
        <v xml:space="preserve">022-784-3592  </v>
      </c>
      <c r="G658" s="3" t="s">
        <v>39</v>
      </c>
    </row>
    <row r="659" spans="1:7" x14ac:dyDescent="0.4">
      <c r="A659" s="2">
        <v>658</v>
      </c>
      <c r="B659" s="2" t="s">
        <v>4</v>
      </c>
      <c r="C659" s="2" t="s">
        <v>38</v>
      </c>
      <c r="D659" s="3" t="s">
        <v>37</v>
      </c>
      <c r="E659" s="3" t="str">
        <f>"名取市美田園6-2-6"</f>
        <v>名取市美田園6-2-6</v>
      </c>
      <c r="F659" s="2" t="str">
        <f>"022-302-7522  "</f>
        <v xml:space="preserve">022-302-7522  </v>
      </c>
      <c r="G659" s="3" t="s">
        <v>36</v>
      </c>
    </row>
    <row r="660" spans="1:7" ht="37.5" x14ac:dyDescent="0.4">
      <c r="A660" s="2">
        <v>659</v>
      </c>
      <c r="B660" s="2" t="s">
        <v>4</v>
      </c>
      <c r="C660" s="2" t="s">
        <v>35</v>
      </c>
      <c r="D660" s="3" t="s">
        <v>34</v>
      </c>
      <c r="E660" s="3" t="s">
        <v>33</v>
      </c>
      <c r="F660" s="2" t="str">
        <f>"022-784-3592  "</f>
        <v xml:space="preserve">022-784-3592  </v>
      </c>
      <c r="G660" s="3" t="s">
        <v>32</v>
      </c>
    </row>
    <row r="661" spans="1:7" ht="37.5" x14ac:dyDescent="0.4">
      <c r="A661" s="2">
        <v>660</v>
      </c>
      <c r="B661" s="2" t="s">
        <v>4</v>
      </c>
      <c r="C661" s="2" t="s">
        <v>31</v>
      </c>
      <c r="D661" s="3" t="s">
        <v>24</v>
      </c>
      <c r="E661" s="3" t="s">
        <v>23</v>
      </c>
      <c r="F661" s="2" t="str">
        <f>"0223-37-1131  "</f>
        <v xml:space="preserve">0223-37-1131  </v>
      </c>
      <c r="G661" s="3" t="s">
        <v>28</v>
      </c>
    </row>
    <row r="662" spans="1:7" ht="37.5" x14ac:dyDescent="0.4">
      <c r="A662" s="2">
        <v>661</v>
      </c>
      <c r="B662" s="2" t="s">
        <v>4</v>
      </c>
      <c r="C662" s="2" t="s">
        <v>30</v>
      </c>
      <c r="D662" s="3" t="s">
        <v>24</v>
      </c>
      <c r="E662" s="3" t="s">
        <v>23</v>
      </c>
      <c r="F662" s="2" t="str">
        <f>"0223-37-1131  "</f>
        <v xml:space="preserve">0223-37-1131  </v>
      </c>
      <c r="G662" s="3" t="s">
        <v>22</v>
      </c>
    </row>
    <row r="663" spans="1:7" ht="37.5" x14ac:dyDescent="0.4">
      <c r="A663" s="2">
        <v>662</v>
      </c>
      <c r="B663" s="2" t="s">
        <v>4</v>
      </c>
      <c r="C663" s="2" t="s">
        <v>29</v>
      </c>
      <c r="D663" s="3" t="s">
        <v>24</v>
      </c>
      <c r="E663" s="3" t="s">
        <v>23</v>
      </c>
      <c r="F663" s="2" t="str">
        <f>"0223-37-1131  "</f>
        <v xml:space="preserve">0223-37-1131  </v>
      </c>
      <c r="G663" s="3" t="s">
        <v>28</v>
      </c>
    </row>
    <row r="664" spans="1:7" ht="37.5" x14ac:dyDescent="0.4">
      <c r="A664" s="2">
        <v>663</v>
      </c>
      <c r="B664" s="2" t="s">
        <v>4</v>
      </c>
      <c r="C664" s="2" t="s">
        <v>27</v>
      </c>
      <c r="D664" s="3" t="s">
        <v>24</v>
      </c>
      <c r="E664" s="3" t="s">
        <v>23</v>
      </c>
      <c r="F664" s="2" t="str">
        <f>"0223-37-1131  "</f>
        <v xml:space="preserve">0223-37-1131  </v>
      </c>
      <c r="G664" s="3" t="s">
        <v>26</v>
      </c>
    </row>
    <row r="665" spans="1:7" ht="37.5" x14ac:dyDescent="0.4">
      <c r="A665" s="2">
        <v>664</v>
      </c>
      <c r="B665" s="2" t="s">
        <v>4</v>
      </c>
      <c r="C665" s="2" t="s">
        <v>25</v>
      </c>
      <c r="D665" s="3" t="s">
        <v>24</v>
      </c>
      <c r="E665" s="3" t="s">
        <v>23</v>
      </c>
      <c r="F665" s="2" t="str">
        <f>"0223-37-1131  "</f>
        <v xml:space="preserve">0223-37-1131  </v>
      </c>
      <c r="G665" s="3" t="s">
        <v>22</v>
      </c>
    </row>
    <row r="666" spans="1:7" x14ac:dyDescent="0.4">
      <c r="A666" s="2">
        <v>665</v>
      </c>
      <c r="B666" s="2" t="s">
        <v>4</v>
      </c>
      <c r="C666" s="2" t="s">
        <v>21</v>
      </c>
      <c r="D666" s="3" t="s">
        <v>20</v>
      </c>
      <c r="E666" s="3" t="s">
        <v>19</v>
      </c>
      <c r="F666" s="2" t="str">
        <f>"0223-38-0005  "</f>
        <v xml:space="preserve">0223-38-0005  </v>
      </c>
      <c r="G666" s="3" t="s">
        <v>18</v>
      </c>
    </row>
    <row r="667" spans="1:7" ht="37.5" x14ac:dyDescent="0.4">
      <c r="A667" s="2">
        <v>666</v>
      </c>
      <c r="B667" s="2" t="s">
        <v>4</v>
      </c>
      <c r="C667" s="2" t="s">
        <v>17</v>
      </c>
      <c r="D667" s="3" t="s">
        <v>16</v>
      </c>
      <c r="E667" s="3" t="str">
        <f>"亘理郡山元町浅生原字日向20-2"</f>
        <v>亘理郡山元町浅生原字日向20-2</v>
      </c>
      <c r="F667" s="2" t="str">
        <f>"0223-23-0345  "</f>
        <v xml:space="preserve">0223-23-0345  </v>
      </c>
      <c r="G667" s="3" t="s">
        <v>15</v>
      </c>
    </row>
    <row r="668" spans="1:7" x14ac:dyDescent="0.4">
      <c r="A668" s="2">
        <v>667</v>
      </c>
      <c r="B668" s="2" t="s">
        <v>4</v>
      </c>
      <c r="C668" s="2" t="s">
        <v>14</v>
      </c>
      <c r="D668" s="3" t="s">
        <v>13</v>
      </c>
      <c r="E668" s="3" t="str">
        <f>"亘理郡亘理町逢隈髙屋字石堂１８７－１"</f>
        <v>亘理郡亘理町逢隈髙屋字石堂１８７－１</v>
      </c>
      <c r="F668" s="2" t="str">
        <f>"0223-36-7577  "</f>
        <v xml:space="preserve">0223-36-7577  </v>
      </c>
      <c r="G668" s="3" t="s">
        <v>0</v>
      </c>
    </row>
    <row r="669" spans="1:7" x14ac:dyDescent="0.4">
      <c r="A669" s="2">
        <v>668</v>
      </c>
      <c r="B669" s="2" t="s">
        <v>4</v>
      </c>
      <c r="C669" s="2" t="s">
        <v>12</v>
      </c>
      <c r="D669" s="3" t="s">
        <v>11</v>
      </c>
      <c r="E669" s="3" t="s">
        <v>10</v>
      </c>
      <c r="F669" s="2" t="str">
        <f>"0223-32-8233  "</f>
        <v xml:space="preserve">0223-32-8233  </v>
      </c>
      <c r="G669" s="3" t="s">
        <v>9</v>
      </c>
    </row>
    <row r="670" spans="1:7" x14ac:dyDescent="0.4">
      <c r="A670" s="2">
        <v>669</v>
      </c>
      <c r="B670" s="2" t="s">
        <v>4</v>
      </c>
      <c r="C670" s="2" t="s">
        <v>8</v>
      </c>
      <c r="D670" s="3" t="s">
        <v>7</v>
      </c>
      <c r="E670" s="3" t="s">
        <v>6</v>
      </c>
      <c r="F670" s="2" t="str">
        <f>"0223-34-0755  "</f>
        <v xml:space="preserve">0223-34-0755  </v>
      </c>
      <c r="G670" s="3" t="s">
        <v>5</v>
      </c>
    </row>
    <row r="671" spans="1:7" x14ac:dyDescent="0.4">
      <c r="A671" s="2">
        <v>670</v>
      </c>
      <c r="B671" s="2" t="s">
        <v>4</v>
      </c>
      <c r="C671" s="2" t="s">
        <v>3</v>
      </c>
      <c r="D671" s="3" t="s">
        <v>2</v>
      </c>
      <c r="E671" s="3" t="s">
        <v>1</v>
      </c>
      <c r="F671" s="2" t="str">
        <f>"0223-23-0366  "</f>
        <v xml:space="preserve">0223-23-0366  </v>
      </c>
      <c r="G671" s="3" t="s">
        <v>0</v>
      </c>
    </row>
  </sheetData>
  <autoFilter ref="A1:G671"/>
  <phoneticPr fontId="1"/>
  <pageMargins left="0.7" right="0.7" top="0.75" bottom="0.75" header="0.3" footer="0.3"/>
  <pageSetup paperSize="9" scale="49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指定医（難病）</vt:lpstr>
      <vt:lpstr>'指定医（難病）'!Print_Area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2026-04-01T02:28:55Z</cp:lastPrinted>
  <dcterms:created xsi:type="dcterms:W3CDTF">2026-04-01T02:06:37Z</dcterms:created>
  <dcterms:modified xsi:type="dcterms:W3CDTF">2026-04-01T02:29:04Z</dcterms:modified>
</cp:coreProperties>
</file>