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MNBFILE01\Share\142300_疾病感染症対策課_難病対策班\50　指定医・指定医療機関（H31.4～）\10　難病指定医療機関\台帳\R7.3\"/>
    </mc:Choice>
  </mc:AlternateContent>
  <bookViews>
    <workbookView xWindow="0" yWindow="0" windowWidth="20355" windowHeight="6315"/>
  </bookViews>
  <sheets>
    <sheet name="難病指定医療機関" sheetId="1" r:id="rId1"/>
  </sheets>
  <definedNames>
    <definedName name="_xlnm._FilterDatabase" localSheetId="0" hidden="1">難病指定医療機関!$B$1:$G$1184</definedName>
  </definedNames>
  <calcPr calcId="162913"/>
</workbook>
</file>

<file path=xl/calcChain.xml><?xml version="1.0" encoding="utf-8"?>
<calcChain xmlns="http://schemas.openxmlformats.org/spreadsheetml/2006/main">
  <c r="C571" i="1" l="1"/>
  <c r="E571" i="1"/>
  <c r="C553" i="1"/>
  <c r="D553" i="1"/>
  <c r="E553" i="1"/>
  <c r="C621" i="1"/>
  <c r="D621" i="1"/>
  <c r="E621" i="1"/>
  <c r="C529" i="1"/>
  <c r="D529" i="1"/>
  <c r="E529" i="1"/>
  <c r="C549" i="1"/>
  <c r="D549" i="1"/>
  <c r="E549" i="1"/>
  <c r="C544" i="1"/>
  <c r="D544" i="1"/>
  <c r="E544" i="1"/>
  <c r="C648" i="1"/>
  <c r="D648" i="1"/>
  <c r="E648" i="1"/>
  <c r="C521" i="1"/>
  <c r="D521" i="1"/>
  <c r="E521" i="1"/>
  <c r="C599" i="1"/>
  <c r="E599" i="1"/>
  <c r="C649" i="1"/>
  <c r="D649" i="1"/>
  <c r="E649" i="1"/>
  <c r="C608" i="1"/>
  <c r="D608" i="1"/>
  <c r="E608" i="1"/>
  <c r="C595" i="1"/>
  <c r="D595" i="1"/>
  <c r="E595" i="1"/>
  <c r="C554" i="1"/>
  <c r="D554" i="1"/>
  <c r="E554" i="1"/>
  <c r="C573" i="1"/>
  <c r="D573" i="1"/>
  <c r="E573" i="1"/>
  <c r="C535" i="1"/>
  <c r="D535" i="1"/>
  <c r="E535" i="1"/>
  <c r="C625" i="1"/>
  <c r="D625" i="1"/>
  <c r="E625" i="1"/>
  <c r="C606" i="1"/>
  <c r="D606" i="1"/>
  <c r="E606" i="1"/>
  <c r="C626" i="1"/>
  <c r="D626" i="1"/>
  <c r="E626" i="1"/>
  <c r="C630" i="1"/>
  <c r="D630" i="1"/>
  <c r="E630" i="1"/>
  <c r="C641" i="1"/>
  <c r="D641" i="1"/>
  <c r="E641" i="1"/>
  <c r="C576" i="1"/>
  <c r="D576" i="1"/>
  <c r="E576" i="1"/>
  <c r="C523" i="1"/>
  <c r="D523" i="1"/>
  <c r="E523" i="1"/>
  <c r="C612" i="1"/>
  <c r="D612" i="1"/>
  <c r="E612" i="1"/>
  <c r="C560" i="1"/>
  <c r="E560" i="1"/>
  <c r="C563" i="1"/>
  <c r="D563" i="1"/>
  <c r="E563" i="1"/>
  <c r="C639" i="1"/>
  <c r="E639" i="1"/>
  <c r="C637" i="1"/>
  <c r="D637" i="1"/>
  <c r="E637" i="1"/>
  <c r="C633" i="1"/>
  <c r="E633" i="1"/>
  <c r="C525" i="1"/>
  <c r="E525" i="1"/>
  <c r="C527" i="1"/>
  <c r="D527" i="1"/>
  <c r="E527" i="1"/>
  <c r="C610" i="1"/>
  <c r="D610" i="1"/>
  <c r="E610" i="1"/>
  <c r="C619" i="1"/>
  <c r="D619" i="1"/>
  <c r="E619" i="1"/>
  <c r="C537" i="1"/>
  <c r="D537" i="1"/>
  <c r="E537" i="1"/>
  <c r="C558" i="1"/>
  <c r="D558" i="1"/>
  <c r="E558" i="1"/>
  <c r="C541" i="1"/>
  <c r="D541" i="1"/>
  <c r="E541" i="1"/>
  <c r="C538" i="1"/>
  <c r="E538" i="1"/>
  <c r="C533" i="1"/>
  <c r="D533" i="1"/>
  <c r="E533" i="1"/>
  <c r="C542" i="1"/>
  <c r="E542" i="1"/>
  <c r="C616" i="1"/>
  <c r="E616" i="1"/>
  <c r="C613" i="1"/>
  <c r="E613" i="1"/>
  <c r="C635" i="1"/>
  <c r="D635" i="1"/>
  <c r="E635" i="1"/>
  <c r="C627" i="1"/>
  <c r="D627" i="1"/>
  <c r="E627" i="1"/>
  <c r="C565" i="1"/>
  <c r="D565" i="1"/>
  <c r="E565" i="1"/>
  <c r="C517" i="1"/>
  <c r="D517" i="1"/>
  <c r="E517" i="1"/>
  <c r="C624" i="1"/>
  <c r="D624" i="1"/>
  <c r="E624" i="1"/>
  <c r="C519" i="1"/>
  <c r="D519" i="1"/>
  <c r="E519" i="1"/>
  <c r="C580" i="1"/>
  <c r="E580" i="1"/>
  <c r="C546" i="1"/>
  <c r="E546" i="1"/>
  <c r="C585" i="1"/>
  <c r="D585" i="1"/>
  <c r="E585" i="1"/>
  <c r="C583" i="1"/>
  <c r="D583" i="1"/>
  <c r="E583" i="1"/>
  <c r="C586" i="1"/>
  <c r="E586" i="1"/>
  <c r="C564" i="1"/>
  <c r="D564" i="1"/>
  <c r="E564" i="1"/>
  <c r="C590" i="1"/>
  <c r="D590" i="1"/>
  <c r="E590" i="1"/>
  <c r="C510" i="1"/>
  <c r="D510" i="1"/>
  <c r="E510" i="1"/>
  <c r="C532" i="1"/>
  <c r="D532" i="1"/>
  <c r="E532" i="1"/>
  <c r="C72" i="1"/>
  <c r="E72" i="1"/>
  <c r="C46" i="1"/>
  <c r="E46" i="1"/>
  <c r="C99" i="1"/>
  <c r="E99" i="1"/>
  <c r="C82" i="1"/>
  <c r="D82" i="1"/>
  <c r="E82" i="1"/>
  <c r="C68" i="1"/>
  <c r="E68" i="1"/>
  <c r="C58" i="1"/>
  <c r="D58" i="1"/>
  <c r="E58" i="1"/>
  <c r="C57" i="1"/>
  <c r="D57" i="1"/>
  <c r="E57" i="1"/>
  <c r="C47" i="1"/>
  <c r="D47" i="1"/>
  <c r="E47" i="1"/>
  <c r="C100" i="1"/>
  <c r="E100" i="1"/>
  <c r="C89" i="1"/>
  <c r="E89" i="1"/>
  <c r="C88" i="1"/>
  <c r="E88" i="1"/>
  <c r="C104" i="1"/>
  <c r="D104" i="1"/>
  <c r="E104" i="1"/>
  <c r="C101" i="1"/>
  <c r="E101" i="1"/>
  <c r="C108" i="1"/>
  <c r="E108" i="1"/>
  <c r="C87" i="1"/>
  <c r="E87" i="1"/>
  <c r="C51" i="1"/>
  <c r="D51" i="1"/>
  <c r="E51" i="1"/>
  <c r="C94" i="1"/>
  <c r="E94" i="1"/>
  <c r="C62" i="1"/>
  <c r="E62" i="1"/>
  <c r="C84" i="1"/>
  <c r="E84" i="1"/>
  <c r="C81" i="1"/>
  <c r="D81" i="1"/>
  <c r="E81" i="1"/>
  <c r="C64" i="1"/>
  <c r="D64" i="1"/>
  <c r="E64" i="1"/>
  <c r="C66" i="1"/>
  <c r="D66" i="1"/>
  <c r="E66" i="1"/>
  <c r="C60" i="1"/>
  <c r="E60" i="1"/>
  <c r="C70" i="1"/>
  <c r="D70" i="1"/>
  <c r="E70" i="1"/>
  <c r="C75" i="1"/>
  <c r="E75" i="1"/>
  <c r="C106" i="1"/>
  <c r="E106" i="1"/>
  <c r="C78" i="1"/>
  <c r="D78" i="1"/>
  <c r="E78" i="1"/>
  <c r="C53" i="1"/>
  <c r="C240" i="1"/>
  <c r="D240" i="1"/>
  <c r="E240" i="1"/>
  <c r="C275" i="1"/>
  <c r="D275" i="1"/>
  <c r="E275" i="1"/>
  <c r="C258" i="1"/>
  <c r="D258" i="1"/>
  <c r="E258" i="1"/>
  <c r="C254" i="1"/>
  <c r="E254" i="1"/>
  <c r="C264" i="1"/>
  <c r="D264" i="1"/>
  <c r="E264" i="1"/>
  <c r="C263" i="1"/>
  <c r="E263" i="1"/>
  <c r="C260" i="1"/>
  <c r="E260" i="1"/>
  <c r="C268" i="1"/>
  <c r="E268" i="1"/>
  <c r="C249" i="1"/>
  <c r="D249" i="1"/>
  <c r="E249" i="1"/>
  <c r="C246" i="1"/>
  <c r="D246" i="1"/>
  <c r="E246" i="1"/>
  <c r="C236" i="1"/>
  <c r="D236" i="1"/>
  <c r="E236" i="1"/>
  <c r="C251" i="1"/>
  <c r="D251" i="1"/>
  <c r="E251" i="1"/>
  <c r="C281" i="1"/>
  <c r="E281" i="1"/>
  <c r="C980" i="1"/>
  <c r="E980" i="1"/>
  <c r="C966" i="1"/>
  <c r="D966" i="1"/>
  <c r="E966" i="1"/>
  <c r="C971" i="1"/>
  <c r="E971" i="1"/>
  <c r="C989" i="1"/>
  <c r="E989" i="1"/>
  <c r="C998" i="1"/>
  <c r="D998" i="1"/>
  <c r="E998" i="1"/>
  <c r="C984" i="1"/>
  <c r="D984" i="1"/>
  <c r="E984" i="1"/>
  <c r="C1002" i="1"/>
  <c r="D1002" i="1"/>
  <c r="E1002" i="1"/>
  <c r="C972" i="1"/>
  <c r="E972" i="1"/>
  <c r="C988" i="1"/>
  <c r="E988" i="1"/>
  <c r="C992" i="1"/>
  <c r="D992" i="1"/>
  <c r="E992" i="1"/>
  <c r="C995" i="1"/>
  <c r="D995" i="1"/>
  <c r="E995" i="1"/>
  <c r="C990" i="1"/>
  <c r="D990" i="1"/>
  <c r="E990" i="1"/>
  <c r="C997" i="1"/>
  <c r="D997" i="1"/>
  <c r="E997" i="1"/>
  <c r="C1003" i="1"/>
  <c r="E1003" i="1"/>
  <c r="C969" i="1"/>
  <c r="E969" i="1"/>
  <c r="C1112" i="1"/>
  <c r="D1112" i="1"/>
  <c r="E1112" i="1"/>
  <c r="C1099" i="1"/>
  <c r="D1099" i="1"/>
  <c r="E1099" i="1"/>
  <c r="C1093" i="1"/>
  <c r="D1093" i="1"/>
  <c r="E1093" i="1"/>
  <c r="C1077" i="1"/>
  <c r="E1077" i="1"/>
  <c r="C1079" i="1"/>
  <c r="E1079" i="1"/>
  <c r="C1098" i="1"/>
  <c r="D1098" i="1"/>
  <c r="E1098" i="1"/>
  <c r="C1106" i="1"/>
  <c r="E1106" i="1"/>
  <c r="C1068" i="1"/>
  <c r="E1068" i="1"/>
  <c r="C1133" i="1"/>
  <c r="D1133" i="1"/>
  <c r="E1133" i="1"/>
  <c r="C1084" i="1"/>
  <c r="E1084" i="1"/>
  <c r="C1066" i="1"/>
  <c r="D1066" i="1"/>
  <c r="E1066" i="1"/>
  <c r="C1078" i="1"/>
  <c r="E1078" i="1"/>
  <c r="C1086" i="1"/>
  <c r="D1086" i="1"/>
  <c r="E1086" i="1"/>
  <c r="C1071" i="1"/>
  <c r="E1071" i="1"/>
  <c r="C1075" i="1"/>
  <c r="D1075" i="1"/>
  <c r="E1075" i="1"/>
  <c r="C1049" i="1"/>
  <c r="D1049" i="1"/>
  <c r="E1049" i="1"/>
  <c r="C1052" i="1"/>
  <c r="D1052" i="1"/>
  <c r="E1052" i="1"/>
  <c r="C1069" i="1"/>
  <c r="E1069" i="1"/>
  <c r="C1058" i="1"/>
  <c r="D1058" i="1"/>
  <c r="E1058" i="1"/>
  <c r="C1137" i="1"/>
  <c r="E1137" i="1"/>
  <c r="C1122" i="1"/>
  <c r="E1122" i="1"/>
  <c r="C1142" i="1"/>
  <c r="E1142" i="1"/>
  <c r="C1062" i="1"/>
  <c r="D1062" i="1"/>
  <c r="E1062" i="1"/>
  <c r="C1056" i="1"/>
  <c r="D1056" i="1"/>
  <c r="E1056" i="1"/>
  <c r="C1135" i="1"/>
  <c r="E1135" i="1"/>
  <c r="C1128" i="1"/>
  <c r="E1128" i="1"/>
  <c r="C1060" i="1"/>
  <c r="D1060" i="1"/>
  <c r="E1060" i="1"/>
  <c r="C1121" i="1"/>
  <c r="D1121" i="1"/>
  <c r="E1121" i="1"/>
  <c r="C1130" i="1"/>
  <c r="D1130" i="1"/>
  <c r="E1130" i="1"/>
  <c r="C1124" i="1"/>
  <c r="D1124" i="1"/>
  <c r="E1124" i="1"/>
  <c r="C1143" i="1"/>
  <c r="E1143" i="1"/>
  <c r="C1139" i="1"/>
  <c r="E1139" i="1"/>
  <c r="C1117" i="1"/>
  <c r="E1117" i="1"/>
  <c r="C1064" i="1"/>
  <c r="E1064" i="1"/>
  <c r="C1111" i="1"/>
  <c r="D1111" i="1"/>
  <c r="E1111" i="1"/>
  <c r="C1116" i="1"/>
  <c r="E1116" i="1"/>
  <c r="C1131" i="1"/>
  <c r="E1131" i="1"/>
  <c r="C1118" i="1"/>
  <c r="E1118" i="1"/>
  <c r="C1096" i="1"/>
  <c r="D1096" i="1"/>
  <c r="E1096" i="1"/>
  <c r="C1050" i="1"/>
  <c r="D1050" i="1"/>
  <c r="E1050" i="1"/>
  <c r="C140" i="1"/>
  <c r="E140" i="1"/>
  <c r="C156" i="1"/>
  <c r="E156" i="1"/>
  <c r="C162" i="1"/>
  <c r="E162" i="1"/>
  <c r="C141" i="1"/>
  <c r="E141" i="1"/>
  <c r="C150" i="1"/>
  <c r="E150" i="1"/>
  <c r="C143" i="1"/>
  <c r="E143" i="1"/>
  <c r="C155" i="1"/>
  <c r="E155" i="1"/>
  <c r="C160" i="1"/>
  <c r="D160" i="1"/>
  <c r="E160" i="1"/>
  <c r="C161" i="1"/>
  <c r="D161" i="1"/>
  <c r="E161" i="1"/>
  <c r="C152" i="1"/>
  <c r="E152" i="1"/>
  <c r="C680" i="1"/>
  <c r="E680" i="1"/>
  <c r="C710" i="1"/>
  <c r="D710" i="1"/>
  <c r="E710" i="1"/>
  <c r="C711" i="1"/>
  <c r="E711" i="1"/>
  <c r="C678" i="1"/>
  <c r="E678" i="1"/>
  <c r="C685" i="1"/>
  <c r="E685" i="1"/>
  <c r="C666" i="1"/>
  <c r="D666" i="1"/>
  <c r="E666" i="1"/>
  <c r="C712" i="1"/>
  <c r="D712" i="1"/>
  <c r="E712" i="1"/>
  <c r="C713" i="1"/>
  <c r="E713" i="1"/>
  <c r="C693" i="1"/>
  <c r="E693" i="1"/>
  <c r="C652" i="1"/>
  <c r="D652" i="1"/>
  <c r="E652" i="1"/>
  <c r="C694" i="1"/>
  <c r="E694" i="1"/>
  <c r="C675" i="1"/>
  <c r="D675" i="1"/>
  <c r="E675" i="1"/>
  <c r="C667" i="1"/>
  <c r="D667" i="1"/>
  <c r="E667" i="1"/>
  <c r="C660" i="1"/>
  <c r="D660" i="1"/>
  <c r="E660" i="1"/>
  <c r="C696" i="1"/>
  <c r="D696" i="1"/>
  <c r="E696" i="1"/>
  <c r="C656" i="1"/>
  <c r="D656" i="1"/>
  <c r="E656" i="1"/>
  <c r="C697" i="1"/>
  <c r="D697" i="1"/>
  <c r="E697" i="1"/>
  <c r="C682" i="1"/>
  <c r="D682" i="1"/>
  <c r="E682" i="1"/>
  <c r="C687" i="1"/>
  <c r="D687" i="1"/>
  <c r="E687" i="1"/>
  <c r="C706" i="1"/>
  <c r="D706" i="1"/>
  <c r="E706" i="1"/>
  <c r="C676" i="1"/>
  <c r="E676" i="1"/>
  <c r="C673" i="1"/>
  <c r="D673" i="1"/>
  <c r="E673" i="1"/>
  <c r="C708" i="1"/>
  <c r="D708" i="1"/>
  <c r="E708" i="1"/>
  <c r="C670" i="1"/>
  <c r="D670" i="1"/>
  <c r="E670" i="1"/>
  <c r="C707" i="1"/>
  <c r="D707" i="1"/>
  <c r="E707" i="1"/>
  <c r="C689" i="1"/>
  <c r="E689" i="1"/>
  <c r="C665" i="1"/>
  <c r="D665" i="1"/>
  <c r="E665" i="1"/>
  <c r="C664" i="1"/>
  <c r="E664" i="1"/>
  <c r="C228" i="1"/>
  <c r="D228" i="1"/>
  <c r="E228" i="1"/>
  <c r="C199" i="1"/>
  <c r="E199" i="1"/>
  <c r="C225" i="1"/>
  <c r="D225" i="1"/>
  <c r="E225" i="1"/>
  <c r="C188" i="1"/>
  <c r="E188" i="1"/>
  <c r="C216" i="1"/>
  <c r="D216" i="1"/>
  <c r="E216" i="1"/>
  <c r="C180" i="1"/>
  <c r="D180" i="1"/>
  <c r="E180" i="1"/>
  <c r="C195" i="1"/>
  <c r="D195" i="1"/>
  <c r="E195" i="1"/>
  <c r="C181" i="1"/>
  <c r="D181" i="1"/>
  <c r="E181" i="1"/>
  <c r="C202" i="1"/>
  <c r="D202" i="1"/>
  <c r="E202" i="1"/>
  <c r="C212" i="1"/>
  <c r="E212" i="1"/>
  <c r="C214" i="1"/>
  <c r="E214" i="1"/>
  <c r="C189" i="1"/>
  <c r="E189" i="1"/>
  <c r="C187" i="1"/>
  <c r="D187" i="1"/>
  <c r="E187" i="1"/>
  <c r="C226" i="1"/>
  <c r="E226" i="1"/>
  <c r="C184" i="1"/>
  <c r="E184" i="1"/>
  <c r="C178" i="1"/>
  <c r="D178" i="1"/>
  <c r="E178" i="1"/>
  <c r="C197" i="1"/>
  <c r="E197" i="1"/>
  <c r="C217" i="1"/>
  <c r="D217" i="1"/>
  <c r="E217" i="1"/>
  <c r="C220" i="1"/>
  <c r="E220" i="1"/>
  <c r="C190" i="1"/>
  <c r="D190" i="1"/>
  <c r="E190" i="1"/>
  <c r="C911" i="1"/>
  <c r="D911" i="1"/>
  <c r="E911" i="1"/>
  <c r="C900" i="1"/>
  <c r="D900" i="1"/>
  <c r="E900" i="1"/>
  <c r="C919" i="1"/>
  <c r="D919" i="1"/>
  <c r="E919" i="1"/>
  <c r="C905" i="1"/>
  <c r="E905" i="1"/>
  <c r="C901" i="1"/>
  <c r="D901" i="1"/>
  <c r="E901" i="1"/>
  <c r="C908" i="1"/>
  <c r="D908" i="1"/>
  <c r="E908" i="1"/>
  <c r="C907" i="1"/>
  <c r="D907" i="1"/>
  <c r="E907" i="1"/>
  <c r="C873" i="1"/>
  <c r="D873" i="1"/>
  <c r="E873" i="1"/>
  <c r="C925" i="1"/>
  <c r="E925" i="1"/>
  <c r="C868" i="1"/>
  <c r="E868" i="1"/>
  <c r="C879" i="1"/>
  <c r="E879" i="1"/>
  <c r="C895" i="1"/>
  <c r="E895" i="1"/>
  <c r="C927" i="1"/>
  <c r="D927" i="1"/>
  <c r="E927" i="1"/>
  <c r="C887" i="1"/>
  <c r="E887" i="1"/>
  <c r="C870" i="1"/>
  <c r="D870" i="1"/>
  <c r="E870" i="1"/>
  <c r="C875" i="1"/>
  <c r="D875" i="1"/>
  <c r="E875" i="1"/>
  <c r="C898" i="1"/>
  <c r="E898" i="1"/>
  <c r="C886" i="1"/>
  <c r="D886" i="1"/>
  <c r="E886" i="1"/>
  <c r="C892" i="1"/>
  <c r="D892" i="1"/>
  <c r="E892" i="1"/>
  <c r="C903" i="1"/>
  <c r="D903" i="1"/>
  <c r="E903" i="1"/>
  <c r="C877" i="1"/>
  <c r="E877" i="1"/>
  <c r="C884" i="1"/>
  <c r="E884" i="1"/>
  <c r="C923" i="1"/>
  <c r="D923" i="1"/>
  <c r="E923" i="1"/>
  <c r="C914" i="1"/>
  <c r="D914" i="1"/>
  <c r="E914" i="1"/>
  <c r="C917" i="1"/>
  <c r="E917" i="1"/>
  <c r="C920" i="1"/>
  <c r="D920" i="1"/>
  <c r="E920" i="1"/>
  <c r="C408" i="1"/>
  <c r="D408" i="1"/>
  <c r="E408" i="1"/>
  <c r="C393" i="1"/>
  <c r="D393" i="1"/>
  <c r="E393" i="1"/>
  <c r="C388" i="1"/>
  <c r="D388" i="1"/>
  <c r="E388" i="1"/>
  <c r="C392" i="1"/>
  <c r="D392" i="1"/>
  <c r="E392" i="1"/>
  <c r="C387" i="1"/>
  <c r="D387" i="1"/>
  <c r="E387" i="1"/>
  <c r="C370" i="1"/>
  <c r="E370" i="1"/>
  <c r="C363" i="1"/>
  <c r="E363" i="1"/>
  <c r="C344" i="1"/>
  <c r="E344" i="1"/>
  <c r="C346" i="1"/>
  <c r="E346" i="1"/>
  <c r="C330" i="1"/>
  <c r="E330" i="1"/>
  <c r="C329" i="1"/>
  <c r="E329" i="1"/>
  <c r="C335" i="1"/>
  <c r="E335" i="1"/>
  <c r="C372" i="1"/>
  <c r="E372" i="1"/>
  <c r="C339" i="1"/>
  <c r="D339" i="1"/>
  <c r="E339" i="1"/>
  <c r="C382" i="1"/>
  <c r="D382" i="1"/>
  <c r="E382" i="1"/>
  <c r="C342" i="1"/>
  <c r="E342" i="1"/>
  <c r="C361" i="1"/>
  <c r="D361" i="1"/>
  <c r="E361" i="1"/>
  <c r="C374" i="1"/>
  <c r="D374" i="1"/>
  <c r="E374" i="1"/>
  <c r="C352" i="1"/>
  <c r="E352" i="1"/>
  <c r="C396" i="1"/>
  <c r="D396" i="1"/>
  <c r="E396" i="1"/>
  <c r="C384" i="1"/>
  <c r="D384" i="1"/>
  <c r="E384" i="1"/>
  <c r="C331" i="1"/>
  <c r="D331" i="1"/>
  <c r="E331" i="1"/>
  <c r="C328" i="1"/>
  <c r="E328" i="1"/>
  <c r="C379" i="1"/>
  <c r="E379" i="1"/>
  <c r="C377" i="1"/>
  <c r="D377" i="1"/>
  <c r="E377" i="1"/>
  <c r="C356" i="1"/>
  <c r="D356" i="1"/>
  <c r="E356" i="1"/>
  <c r="C358" i="1"/>
  <c r="D358" i="1"/>
  <c r="E358" i="1"/>
  <c r="C383" i="1"/>
  <c r="D383" i="1"/>
  <c r="E383" i="1"/>
  <c r="C345" i="1"/>
  <c r="D345" i="1"/>
  <c r="E345" i="1"/>
  <c r="C962" i="1"/>
  <c r="E962" i="1"/>
  <c r="C953" i="1"/>
  <c r="D953" i="1"/>
  <c r="E953" i="1"/>
  <c r="C945" i="1"/>
  <c r="D945" i="1"/>
  <c r="E945" i="1"/>
  <c r="C930" i="1"/>
  <c r="D930" i="1"/>
  <c r="E930" i="1"/>
  <c r="C942" i="1"/>
  <c r="D942" i="1"/>
  <c r="E942" i="1"/>
  <c r="C938" i="1"/>
  <c r="D938" i="1"/>
  <c r="E938" i="1"/>
  <c r="C946" i="1"/>
  <c r="E946" i="1"/>
  <c r="C950" i="1"/>
  <c r="D950" i="1"/>
  <c r="E950" i="1"/>
  <c r="C960" i="1"/>
  <c r="E960" i="1"/>
  <c r="C964" i="1"/>
  <c r="E964" i="1"/>
  <c r="C943" i="1"/>
  <c r="E943" i="1"/>
  <c r="C957" i="1"/>
  <c r="D957" i="1"/>
  <c r="E957" i="1"/>
  <c r="C936" i="1"/>
  <c r="D936" i="1"/>
  <c r="E936" i="1"/>
  <c r="C810" i="1"/>
  <c r="D810" i="1"/>
  <c r="E810" i="1"/>
  <c r="C846" i="1"/>
  <c r="E846" i="1"/>
  <c r="C717" i="1"/>
  <c r="D717" i="1"/>
  <c r="E717" i="1"/>
  <c r="C866" i="1"/>
  <c r="E866" i="1"/>
  <c r="C861" i="1"/>
  <c r="D861" i="1"/>
  <c r="E861" i="1"/>
  <c r="C731" i="1"/>
  <c r="E731" i="1"/>
  <c r="C793" i="1"/>
  <c r="D793" i="1"/>
  <c r="E793" i="1"/>
  <c r="C737" i="1"/>
  <c r="E737" i="1"/>
  <c r="C727" i="1"/>
  <c r="D727" i="1"/>
  <c r="E727" i="1"/>
  <c r="C779" i="1"/>
  <c r="D779" i="1"/>
  <c r="E779" i="1"/>
  <c r="C801" i="1"/>
  <c r="D801" i="1"/>
  <c r="E801" i="1"/>
  <c r="C752" i="1"/>
  <c r="D752" i="1"/>
  <c r="E752" i="1"/>
  <c r="C734" i="1"/>
  <c r="D734" i="1"/>
  <c r="E734" i="1"/>
  <c r="C794" i="1"/>
  <c r="E794" i="1"/>
  <c r="C798" i="1"/>
  <c r="E798" i="1"/>
  <c r="C780" i="1"/>
  <c r="D780" i="1"/>
  <c r="E780" i="1"/>
  <c r="C773" i="1"/>
  <c r="E773" i="1"/>
  <c r="C800" i="1"/>
  <c r="D800" i="1"/>
  <c r="E800" i="1"/>
  <c r="C776" i="1"/>
  <c r="D776" i="1"/>
  <c r="E776" i="1"/>
  <c r="C725" i="1"/>
  <c r="D725" i="1"/>
  <c r="E725" i="1"/>
  <c r="C790" i="1"/>
  <c r="D790" i="1"/>
  <c r="E790" i="1"/>
  <c r="C765" i="1"/>
  <c r="E765" i="1"/>
  <c r="C784" i="1"/>
  <c r="D784" i="1"/>
  <c r="E784" i="1"/>
  <c r="C823" i="1"/>
  <c r="D823" i="1"/>
  <c r="E823" i="1"/>
  <c r="C835" i="1"/>
  <c r="D835" i="1"/>
  <c r="E835" i="1"/>
  <c r="C838" i="1"/>
  <c r="D838" i="1"/>
  <c r="E838" i="1"/>
  <c r="C841" i="1"/>
  <c r="D841" i="1"/>
  <c r="E841" i="1"/>
  <c r="C842" i="1"/>
  <c r="D842" i="1"/>
  <c r="E842" i="1"/>
  <c r="C721" i="1"/>
  <c r="D721" i="1"/>
  <c r="E721" i="1"/>
  <c r="C864" i="1"/>
  <c r="E864" i="1"/>
  <c r="C863" i="1"/>
  <c r="E863" i="1"/>
  <c r="C831" i="1"/>
  <c r="D831" i="1"/>
  <c r="E831" i="1"/>
  <c r="C761" i="1"/>
  <c r="E761" i="1"/>
  <c r="C771" i="1"/>
  <c r="D771" i="1"/>
  <c r="E771" i="1"/>
  <c r="C854" i="1"/>
  <c r="E854" i="1"/>
  <c r="C736" i="1"/>
  <c r="D736" i="1"/>
  <c r="E736" i="1"/>
  <c r="C816" i="1"/>
  <c r="E816" i="1"/>
  <c r="C821" i="1"/>
  <c r="D821" i="1"/>
  <c r="E821" i="1"/>
  <c r="C768" i="1"/>
  <c r="E768" i="1"/>
  <c r="C852" i="1"/>
  <c r="E852" i="1"/>
  <c r="C744" i="1"/>
  <c r="D744" i="1"/>
  <c r="E744" i="1"/>
  <c r="C758" i="1"/>
  <c r="D758" i="1"/>
  <c r="E758" i="1"/>
  <c r="C747" i="1"/>
  <c r="D747" i="1"/>
  <c r="E747" i="1"/>
  <c r="C775" i="1"/>
  <c r="E775" i="1"/>
  <c r="C755" i="1"/>
  <c r="D755" i="1"/>
  <c r="E755" i="1"/>
  <c r="C796" i="1"/>
  <c r="E796" i="1"/>
  <c r="C745" i="1"/>
  <c r="E745" i="1"/>
  <c r="C850" i="1"/>
  <c r="D850" i="1"/>
  <c r="E850" i="1"/>
  <c r="C730" i="1"/>
  <c r="E730" i="1"/>
  <c r="C791" i="1"/>
  <c r="D791" i="1"/>
  <c r="E791" i="1"/>
  <c r="C782" i="1"/>
  <c r="E782" i="1"/>
  <c r="C738" i="1"/>
  <c r="D738" i="1"/>
  <c r="E738" i="1"/>
  <c r="C826" i="1"/>
  <c r="D826" i="1"/>
  <c r="E826" i="1"/>
  <c r="C770" i="1"/>
  <c r="D770" i="1"/>
  <c r="E770" i="1"/>
  <c r="C1009" i="1"/>
  <c r="D1009" i="1"/>
  <c r="E1009" i="1"/>
  <c r="C1025" i="1"/>
  <c r="D1025" i="1"/>
  <c r="E1025" i="1"/>
  <c r="C1034" i="1"/>
  <c r="D1034" i="1"/>
  <c r="E1034" i="1"/>
  <c r="C1017" i="1"/>
  <c r="D1017" i="1"/>
  <c r="E1017" i="1"/>
  <c r="C1011" i="1"/>
  <c r="D1011" i="1"/>
  <c r="E1011" i="1"/>
  <c r="C1022" i="1"/>
  <c r="D1022" i="1"/>
  <c r="E1022" i="1"/>
  <c r="C1007" i="1"/>
  <c r="D1007" i="1"/>
  <c r="E1007" i="1"/>
  <c r="C1039" i="1"/>
  <c r="E1039" i="1"/>
  <c r="C1029" i="1"/>
  <c r="E1029" i="1"/>
  <c r="C1027" i="1"/>
  <c r="D1027" i="1"/>
  <c r="E1027" i="1"/>
  <c r="C1028" i="1"/>
  <c r="D1028" i="1"/>
  <c r="E1028" i="1"/>
  <c r="C164" i="1"/>
  <c r="E164" i="1"/>
  <c r="C175" i="1"/>
  <c r="E175" i="1"/>
  <c r="C166" i="1"/>
  <c r="E166" i="1"/>
  <c r="C170" i="1"/>
  <c r="E170" i="1"/>
  <c r="C168" i="1"/>
  <c r="E168" i="1"/>
  <c r="C467" i="1"/>
  <c r="E467" i="1"/>
  <c r="C464" i="1"/>
  <c r="D464" i="1"/>
  <c r="E464" i="1"/>
  <c r="C454" i="1"/>
  <c r="E454" i="1"/>
  <c r="C449" i="1"/>
  <c r="E449" i="1"/>
  <c r="C507" i="1"/>
  <c r="D507" i="1"/>
  <c r="E507" i="1"/>
  <c r="C456" i="1"/>
  <c r="D456" i="1"/>
  <c r="E456" i="1"/>
  <c r="C444" i="1"/>
  <c r="E444" i="1"/>
  <c r="C469" i="1"/>
  <c r="E469" i="1"/>
  <c r="C436" i="1"/>
  <c r="D436" i="1"/>
  <c r="E436" i="1"/>
  <c r="C494" i="1"/>
  <c r="E494" i="1"/>
  <c r="C493" i="1"/>
  <c r="D493" i="1"/>
  <c r="E493" i="1"/>
  <c r="C500" i="1"/>
  <c r="D500" i="1"/>
  <c r="E500" i="1"/>
  <c r="C501" i="1"/>
  <c r="D501" i="1"/>
  <c r="E501" i="1"/>
  <c r="C478" i="1"/>
  <c r="D478" i="1"/>
  <c r="E478" i="1"/>
  <c r="C482" i="1"/>
  <c r="D482" i="1"/>
  <c r="E482" i="1"/>
  <c r="C504" i="1"/>
  <c r="D504" i="1"/>
  <c r="E504" i="1"/>
  <c r="C465" i="1"/>
  <c r="E465" i="1"/>
  <c r="C499" i="1"/>
  <c r="E499" i="1"/>
  <c r="C472" i="1"/>
  <c r="D472" i="1"/>
  <c r="E472" i="1"/>
  <c r="C460" i="1"/>
  <c r="D460" i="1"/>
  <c r="E460" i="1"/>
  <c r="C487" i="1"/>
  <c r="D487" i="1"/>
  <c r="E487" i="1"/>
  <c r="C451" i="1"/>
  <c r="D451" i="1"/>
  <c r="E451" i="1"/>
  <c r="C434" i="1"/>
  <c r="E434" i="1"/>
  <c r="C484" i="1"/>
  <c r="D484" i="1"/>
  <c r="E484" i="1"/>
  <c r="C462" i="1"/>
  <c r="E462" i="1"/>
  <c r="C438" i="1"/>
  <c r="D438" i="1"/>
  <c r="E438" i="1"/>
  <c r="C485" i="1"/>
  <c r="D485" i="1"/>
  <c r="E485" i="1"/>
  <c r="C475" i="1"/>
  <c r="E475" i="1"/>
  <c r="C4" i="1"/>
  <c r="E4" i="1"/>
  <c r="C2" i="1"/>
  <c r="D2" i="1"/>
  <c r="E2" i="1"/>
  <c r="C1170" i="1"/>
  <c r="E1170" i="1"/>
  <c r="C1183" i="1"/>
  <c r="D1183" i="1"/>
  <c r="E1183" i="1"/>
  <c r="C1171" i="1"/>
  <c r="D1171" i="1"/>
  <c r="E1171" i="1"/>
  <c r="C1152" i="1"/>
  <c r="E1152" i="1"/>
  <c r="C1158" i="1"/>
  <c r="E1158" i="1"/>
  <c r="C1159" i="1"/>
  <c r="E1159" i="1"/>
  <c r="C1176" i="1"/>
  <c r="E1176" i="1"/>
  <c r="C1168" i="1"/>
  <c r="D1168" i="1"/>
  <c r="E1168" i="1"/>
  <c r="C1163" i="1"/>
  <c r="D1163" i="1"/>
  <c r="E1163" i="1"/>
  <c r="C1175" i="1"/>
  <c r="E1175" i="1"/>
  <c r="C1179" i="1"/>
  <c r="D1179" i="1"/>
  <c r="E1179" i="1"/>
  <c r="C1177" i="1"/>
  <c r="E1177" i="1"/>
  <c r="C1164" i="1"/>
  <c r="D1164" i="1"/>
  <c r="E1164" i="1"/>
  <c r="C1156" i="1"/>
  <c r="D1156" i="1"/>
  <c r="E1156" i="1"/>
  <c r="C1160" i="1"/>
  <c r="E1160" i="1"/>
  <c r="C1154" i="1"/>
  <c r="D1154" i="1"/>
  <c r="E1154" i="1"/>
  <c r="C1173" i="1"/>
  <c r="D1173" i="1"/>
  <c r="E1173" i="1"/>
  <c r="C1182" i="1"/>
  <c r="E1182" i="1"/>
  <c r="C1148" i="1"/>
  <c r="E1148" i="1"/>
  <c r="C293" i="1"/>
  <c r="D293" i="1"/>
  <c r="E293" i="1"/>
  <c r="C290" i="1"/>
  <c r="D290" i="1"/>
  <c r="E290" i="1"/>
  <c r="C310" i="1"/>
  <c r="E310" i="1"/>
  <c r="C302" i="1"/>
  <c r="D302" i="1"/>
  <c r="E302" i="1"/>
  <c r="C315" i="1"/>
  <c r="D315" i="1"/>
  <c r="E315" i="1"/>
  <c r="C316" i="1"/>
  <c r="D316" i="1"/>
  <c r="E316" i="1"/>
  <c r="C306" i="1"/>
  <c r="E306" i="1"/>
  <c r="C299" i="1"/>
  <c r="E299" i="1"/>
  <c r="C314" i="1"/>
  <c r="D314" i="1"/>
  <c r="E314" i="1"/>
  <c r="C284" i="1"/>
  <c r="E284" i="1"/>
  <c r="C325" i="1"/>
  <c r="D325" i="1"/>
  <c r="E325" i="1"/>
  <c r="C317" i="1"/>
  <c r="E317" i="1"/>
  <c r="C311" i="1"/>
  <c r="D311" i="1"/>
  <c r="E311" i="1"/>
  <c r="C303" i="1"/>
  <c r="D303" i="1"/>
  <c r="E303" i="1"/>
  <c r="C305" i="1"/>
  <c r="E305" i="1"/>
  <c r="C323" i="1"/>
  <c r="E323" i="1"/>
  <c r="C321" i="1"/>
  <c r="D321" i="1"/>
  <c r="E321" i="1"/>
  <c r="C422" i="1"/>
  <c r="E422" i="1"/>
  <c r="C427" i="1"/>
  <c r="E427" i="1"/>
  <c r="C405" i="1"/>
  <c r="D405" i="1"/>
  <c r="E405" i="1"/>
  <c r="C426" i="1"/>
  <c r="D426" i="1"/>
  <c r="E426" i="1"/>
  <c r="C415" i="1"/>
  <c r="D415" i="1"/>
  <c r="E415" i="1"/>
  <c r="C411" i="1"/>
  <c r="E411" i="1"/>
  <c r="C421" i="1"/>
  <c r="D421" i="1"/>
  <c r="E421" i="1"/>
  <c r="C398" i="1"/>
  <c r="D398" i="1"/>
  <c r="E398" i="1"/>
  <c r="C402" i="1"/>
  <c r="E402" i="1"/>
  <c r="C417" i="1"/>
  <c r="E417" i="1"/>
  <c r="C403" i="1"/>
  <c r="D403" i="1"/>
  <c r="E403" i="1"/>
  <c r="C134" i="1"/>
  <c r="E134" i="1"/>
  <c r="C120" i="1"/>
  <c r="E120" i="1"/>
  <c r="C119" i="1"/>
  <c r="E119" i="1"/>
  <c r="C122" i="1"/>
  <c r="E122" i="1"/>
  <c r="C116" i="1"/>
  <c r="E116" i="1"/>
  <c r="C131" i="1"/>
  <c r="D131" i="1"/>
  <c r="E131" i="1"/>
  <c r="C114" i="1"/>
  <c r="D114" i="1"/>
  <c r="E114" i="1"/>
  <c r="C117" i="1"/>
  <c r="D117" i="1"/>
  <c r="E117" i="1"/>
  <c r="C136" i="1"/>
  <c r="E136" i="1"/>
  <c r="C128" i="1"/>
  <c r="D128" i="1"/>
  <c r="E128" i="1"/>
  <c r="C124" i="1"/>
  <c r="D124" i="1"/>
  <c r="E124" i="1"/>
  <c r="C121" i="1"/>
  <c r="E121" i="1"/>
  <c r="C38" i="1"/>
  <c r="E38" i="1"/>
  <c r="C22" i="1"/>
  <c r="E22" i="1"/>
  <c r="C25" i="1"/>
  <c r="E25" i="1"/>
  <c r="C35" i="1"/>
  <c r="D35" i="1"/>
  <c r="E35" i="1"/>
  <c r="C30" i="1"/>
  <c r="D30" i="1"/>
  <c r="E30" i="1"/>
  <c r="C20" i="1"/>
  <c r="E20" i="1"/>
  <c r="C21" i="1"/>
  <c r="E21" i="1"/>
  <c r="C11" i="1"/>
  <c r="D11" i="1"/>
  <c r="E11" i="1"/>
  <c r="C27" i="1"/>
  <c r="E27" i="1"/>
  <c r="C32" i="1"/>
  <c r="E32" i="1"/>
  <c r="C13" i="1"/>
  <c r="D13" i="1"/>
  <c r="E13" i="1"/>
  <c r="C10" i="1"/>
  <c r="E10" i="1"/>
  <c r="C110" i="1"/>
  <c r="E110" i="1"/>
  <c r="C1042" i="1"/>
  <c r="D1042" i="1"/>
  <c r="C1046" i="1"/>
  <c r="D1046" i="1"/>
  <c r="E1046" i="1"/>
  <c r="C1047" i="1"/>
  <c r="E1047" i="1"/>
  <c r="C1145" i="1"/>
  <c r="E1145" i="1"/>
  <c r="C569" i="1"/>
  <c r="E569" i="1"/>
  <c r="C622" i="1"/>
  <c r="E622" i="1"/>
  <c r="C596" i="1"/>
  <c r="D596" i="1"/>
  <c r="E596" i="1"/>
  <c r="C555" i="1"/>
  <c r="D555" i="1"/>
  <c r="E555" i="1"/>
  <c r="C601" i="1"/>
  <c r="E601" i="1"/>
  <c r="C651" i="1"/>
  <c r="D651" i="1"/>
  <c r="E651" i="1"/>
  <c r="C618" i="1"/>
  <c r="D618" i="1"/>
  <c r="E618" i="1"/>
  <c r="C628" i="1"/>
  <c r="E628" i="1"/>
  <c r="C592" i="1"/>
  <c r="D592" i="1"/>
  <c r="E592" i="1"/>
  <c r="C550" i="1"/>
  <c r="D550" i="1"/>
  <c r="E550" i="1"/>
  <c r="C562" i="1"/>
  <c r="E562" i="1"/>
  <c r="C83" i="1"/>
  <c r="D83" i="1"/>
  <c r="E83" i="1"/>
  <c r="C107" i="1"/>
  <c r="E107" i="1"/>
  <c r="C55" i="1"/>
  <c r="D55" i="1"/>
  <c r="E55" i="1"/>
  <c r="C97" i="1"/>
  <c r="D97" i="1"/>
  <c r="E97" i="1"/>
  <c r="C90" i="1"/>
  <c r="E90" i="1"/>
  <c r="C50" i="1"/>
  <c r="D50" i="1"/>
  <c r="E50" i="1"/>
  <c r="C67" i="1"/>
  <c r="D67" i="1"/>
  <c r="E67" i="1"/>
  <c r="C96" i="1"/>
  <c r="D96" i="1"/>
  <c r="E96" i="1"/>
  <c r="C242" i="1"/>
  <c r="D242" i="1"/>
  <c r="E242" i="1"/>
  <c r="C262" i="1"/>
  <c r="D262" i="1"/>
  <c r="E262" i="1"/>
  <c r="C274" i="1"/>
  <c r="E274" i="1"/>
  <c r="C272" i="1"/>
  <c r="D272" i="1"/>
  <c r="E272" i="1"/>
  <c r="C253" i="1"/>
  <c r="E253" i="1"/>
  <c r="C978" i="1"/>
  <c r="E978" i="1"/>
  <c r="C985" i="1"/>
  <c r="D985" i="1"/>
  <c r="E985" i="1"/>
  <c r="C999" i="1"/>
  <c r="D999" i="1"/>
  <c r="E999" i="1"/>
  <c r="C1102" i="1"/>
  <c r="D1102" i="1"/>
  <c r="E1102" i="1"/>
  <c r="C1087" i="1"/>
  <c r="D1087" i="1"/>
  <c r="E1087" i="1"/>
  <c r="C1092" i="1"/>
  <c r="E1092" i="1"/>
  <c r="C1132" i="1"/>
  <c r="E1132" i="1"/>
  <c r="C1144" i="1"/>
  <c r="E1144" i="1"/>
  <c r="C1094" i="1"/>
  <c r="E1094" i="1"/>
  <c r="C1097" i="1"/>
  <c r="D1097" i="1"/>
  <c r="E1097" i="1"/>
  <c r="C1119" i="1"/>
  <c r="E1119" i="1"/>
  <c r="C1054" i="1"/>
  <c r="D1054" i="1"/>
  <c r="E1054" i="1"/>
  <c r="C1076" i="1"/>
  <c r="E1076" i="1"/>
  <c r="C1125" i="1"/>
  <c r="D1125" i="1"/>
  <c r="E1125" i="1"/>
  <c r="C146" i="1"/>
  <c r="E146" i="1"/>
  <c r="C703" i="1"/>
  <c r="E703" i="1"/>
  <c r="C715" i="1"/>
  <c r="D715" i="1"/>
  <c r="E715" i="1"/>
  <c r="C654" i="1"/>
  <c r="D654" i="1"/>
  <c r="E654" i="1"/>
  <c r="C716" i="1"/>
  <c r="D716" i="1"/>
  <c r="E716" i="1"/>
  <c r="C692" i="1"/>
  <c r="E692" i="1"/>
  <c r="C658" i="1"/>
  <c r="D658" i="1"/>
  <c r="E658" i="1"/>
  <c r="C223" i="1"/>
  <c r="D223" i="1"/>
  <c r="E223" i="1"/>
  <c r="C204" i="1"/>
  <c r="E204" i="1"/>
  <c r="C912" i="1"/>
  <c r="E912" i="1"/>
  <c r="C876" i="1"/>
  <c r="E876" i="1"/>
  <c r="C924" i="1"/>
  <c r="E924" i="1"/>
  <c r="C380" i="1"/>
  <c r="D380" i="1"/>
  <c r="E380" i="1"/>
  <c r="C369" i="1"/>
  <c r="E369" i="1"/>
  <c r="C349" i="1"/>
  <c r="E349" i="1"/>
  <c r="C354" i="1"/>
  <c r="E354" i="1"/>
  <c r="C337" i="1"/>
  <c r="E337" i="1"/>
  <c r="C956" i="1"/>
  <c r="D956" i="1"/>
  <c r="E956" i="1"/>
  <c r="C948" i="1"/>
  <c r="D948" i="1"/>
  <c r="E948" i="1"/>
  <c r="C934" i="1"/>
  <c r="E934" i="1"/>
  <c r="C931" i="1"/>
  <c r="D931" i="1"/>
  <c r="E931" i="1"/>
  <c r="C807" i="1"/>
  <c r="D807" i="1"/>
  <c r="E807" i="1"/>
  <c r="C824" i="1"/>
  <c r="D824" i="1"/>
  <c r="E824" i="1"/>
  <c r="C825" i="1"/>
  <c r="D825" i="1"/>
  <c r="E825" i="1"/>
  <c r="C733" i="1"/>
  <c r="E733" i="1"/>
  <c r="C802" i="1"/>
  <c r="E802" i="1"/>
  <c r="C839" i="1"/>
  <c r="D839" i="1"/>
  <c r="E839" i="1"/>
  <c r="C844" i="1"/>
  <c r="E844" i="1"/>
  <c r="C724" i="1"/>
  <c r="E724" i="1"/>
  <c r="C722" i="1"/>
  <c r="E722" i="1"/>
  <c r="C860" i="1"/>
  <c r="D860" i="1"/>
  <c r="E860" i="1"/>
  <c r="C742" i="1"/>
  <c r="D742" i="1"/>
  <c r="E742" i="1"/>
  <c r="C805" i="1"/>
  <c r="E805" i="1"/>
  <c r="C760" i="1"/>
  <c r="D760" i="1"/>
  <c r="E760" i="1"/>
  <c r="C1008" i="1"/>
  <c r="D1008" i="1"/>
  <c r="E1008" i="1"/>
  <c r="C1032" i="1"/>
  <c r="E1032" i="1"/>
  <c r="C1021" i="1"/>
  <c r="D1021" i="1"/>
  <c r="E1021" i="1"/>
  <c r="C1018" i="1"/>
  <c r="D1018" i="1"/>
  <c r="E1018" i="1"/>
  <c r="C174" i="1"/>
  <c r="D174" i="1"/>
  <c r="E174" i="1"/>
  <c r="C431" i="1"/>
  <c r="E431" i="1"/>
  <c r="C430" i="1"/>
  <c r="D430" i="1"/>
  <c r="E430" i="1"/>
  <c r="C453" i="1"/>
  <c r="E453" i="1"/>
  <c r="C498" i="1"/>
  <c r="D498" i="1"/>
  <c r="E498" i="1"/>
  <c r="C8" i="1"/>
  <c r="E8" i="1"/>
  <c r="C1180" i="1"/>
  <c r="E1180" i="1"/>
  <c r="C294" i="1"/>
  <c r="D294" i="1"/>
  <c r="E294" i="1"/>
  <c r="C285" i="1"/>
  <c r="D285" i="1"/>
  <c r="E285" i="1"/>
  <c r="C308" i="1"/>
  <c r="D308" i="1"/>
  <c r="E308" i="1"/>
  <c r="C288" i="1"/>
  <c r="D288" i="1"/>
  <c r="E288" i="1"/>
  <c r="C297" i="1"/>
  <c r="D297" i="1"/>
  <c r="E297" i="1"/>
  <c r="C419" i="1"/>
  <c r="E419" i="1"/>
  <c r="C401" i="1"/>
  <c r="D401" i="1"/>
  <c r="E401" i="1"/>
  <c r="C429" i="1"/>
  <c r="D429" i="1"/>
  <c r="E429" i="1"/>
  <c r="C118" i="1"/>
  <c r="E118" i="1"/>
  <c r="C112" i="1"/>
  <c r="D112" i="1"/>
  <c r="E112" i="1"/>
  <c r="C111" i="1"/>
  <c r="D111" i="1"/>
  <c r="E111" i="1"/>
  <c r="C130" i="1"/>
  <c r="D130" i="1"/>
  <c r="E130" i="1"/>
  <c r="C125" i="1"/>
  <c r="D125" i="1"/>
  <c r="E125" i="1"/>
  <c r="C18" i="1"/>
  <c r="E18" i="1"/>
  <c r="C19" i="1"/>
  <c r="D19" i="1"/>
  <c r="E19" i="1"/>
  <c r="C40" i="1"/>
  <c r="E40" i="1"/>
  <c r="C15" i="1"/>
  <c r="E15" i="1"/>
  <c r="C41" i="1"/>
  <c r="E41" i="1"/>
  <c r="C34" i="1"/>
  <c r="E34" i="1"/>
  <c r="C598" i="1"/>
  <c r="E598" i="1"/>
  <c r="C646" i="1"/>
  <c r="D646" i="1"/>
  <c r="E646" i="1"/>
  <c r="C547" i="1"/>
  <c r="D547" i="1"/>
  <c r="E547" i="1"/>
  <c r="C643" i="1"/>
  <c r="D643" i="1"/>
  <c r="E643" i="1"/>
  <c r="C582" i="1"/>
  <c r="E582" i="1"/>
  <c r="C591" i="1"/>
  <c r="E591" i="1"/>
  <c r="C574" i="1"/>
  <c r="D574" i="1"/>
  <c r="E574" i="1"/>
  <c r="C556" i="1"/>
  <c r="D556" i="1"/>
  <c r="E556" i="1"/>
  <c r="C631" i="1"/>
  <c r="E631" i="1"/>
  <c r="C578" i="1"/>
  <c r="D578" i="1"/>
  <c r="E578" i="1"/>
  <c r="C593" i="1"/>
  <c r="D593" i="1"/>
  <c r="E593" i="1"/>
  <c r="C597" i="1"/>
  <c r="E597" i="1"/>
  <c r="C513" i="1"/>
  <c r="D513" i="1"/>
  <c r="E513" i="1"/>
  <c r="C568" i="1"/>
  <c r="E568" i="1"/>
  <c r="C577" i="1"/>
  <c r="E577" i="1"/>
  <c r="C536" i="1"/>
  <c r="E536" i="1"/>
  <c r="C530" i="1"/>
  <c r="D530" i="1"/>
  <c r="E530" i="1"/>
  <c r="C557" i="1"/>
  <c r="D557" i="1"/>
  <c r="E557" i="1"/>
  <c r="C602" i="1"/>
  <c r="E602" i="1"/>
  <c r="C559" i="1"/>
  <c r="E559" i="1"/>
  <c r="C540" i="1"/>
  <c r="D540" i="1"/>
  <c r="E540" i="1"/>
  <c r="C638" i="1"/>
  <c r="E638" i="1"/>
  <c r="C650" i="1"/>
  <c r="D650" i="1"/>
  <c r="E650" i="1"/>
  <c r="C611" i="1"/>
  <c r="D611" i="1"/>
  <c r="E611" i="1"/>
  <c r="C516" i="1"/>
  <c r="D516" i="1"/>
  <c r="E516" i="1"/>
  <c r="C515" i="1"/>
  <c r="D515" i="1"/>
  <c r="E515" i="1"/>
  <c r="C514" i="1"/>
  <c r="D514" i="1"/>
  <c r="E514" i="1"/>
  <c r="C600" i="1"/>
  <c r="E600" i="1"/>
  <c r="C605" i="1"/>
  <c r="D605" i="1"/>
  <c r="E605" i="1"/>
  <c r="C615" i="1"/>
  <c r="D615" i="1"/>
  <c r="E615" i="1"/>
  <c r="C520" i="1"/>
  <c r="D520" i="1"/>
  <c r="E520" i="1"/>
  <c r="C518" i="1"/>
  <c r="D518" i="1"/>
  <c r="E518" i="1"/>
  <c r="C531" i="1"/>
  <c r="D531" i="1"/>
  <c r="E531" i="1"/>
  <c r="C526" i="1"/>
  <c r="D526" i="1"/>
  <c r="E526" i="1"/>
  <c r="C645" i="1"/>
  <c r="D645" i="1"/>
  <c r="E645" i="1"/>
  <c r="C570" i="1"/>
  <c r="D570" i="1"/>
  <c r="E570" i="1"/>
  <c r="C584" i="1"/>
  <c r="D584" i="1"/>
  <c r="E584" i="1"/>
  <c r="C594" i="1"/>
  <c r="D594" i="1"/>
  <c r="E594" i="1"/>
  <c r="C552" i="1"/>
  <c r="E552" i="1"/>
  <c r="C534" i="1"/>
  <c r="D534" i="1"/>
  <c r="E534" i="1"/>
  <c r="C548" i="1"/>
  <c r="D548" i="1"/>
  <c r="E548" i="1"/>
  <c r="C545" i="1"/>
  <c r="D545" i="1"/>
  <c r="E545" i="1"/>
  <c r="C509" i="1"/>
  <c r="D509" i="1"/>
  <c r="E509" i="1"/>
  <c r="C640" i="1"/>
  <c r="E640" i="1"/>
  <c r="C567" i="1"/>
  <c r="D567" i="1"/>
  <c r="E567" i="1"/>
  <c r="C512" i="1"/>
  <c r="E512" i="1"/>
  <c r="C579" i="1"/>
  <c r="D579" i="1"/>
  <c r="E579" i="1"/>
  <c r="C589" i="1"/>
  <c r="D589" i="1"/>
  <c r="E589" i="1"/>
  <c r="C644" i="1"/>
  <c r="D644" i="1"/>
  <c r="E644" i="1"/>
  <c r="C617" i="1"/>
  <c r="D617" i="1"/>
  <c r="E617" i="1"/>
  <c r="C642" i="1"/>
  <c r="E642" i="1"/>
  <c r="C543" i="1"/>
  <c r="E543" i="1"/>
  <c r="C603" i="1"/>
  <c r="D603" i="1"/>
  <c r="E603" i="1"/>
  <c r="C620" i="1"/>
  <c r="D620" i="1"/>
  <c r="E620" i="1"/>
  <c r="C629" i="1"/>
  <c r="D629" i="1"/>
  <c r="E629" i="1"/>
  <c r="C636" i="1"/>
  <c r="D636" i="1"/>
  <c r="E636" i="1"/>
  <c r="C511" i="1"/>
  <c r="D511" i="1"/>
  <c r="E511" i="1"/>
  <c r="C508" i="1"/>
  <c r="D508" i="1"/>
  <c r="E508" i="1"/>
  <c r="C524" i="1"/>
  <c r="E524" i="1"/>
  <c r="C588" i="1"/>
  <c r="E588" i="1"/>
  <c r="C566" i="1"/>
  <c r="D566" i="1"/>
  <c r="E566" i="1"/>
  <c r="C623" i="1"/>
  <c r="D623" i="1"/>
  <c r="E623" i="1"/>
  <c r="C587" i="1"/>
  <c r="D587" i="1"/>
  <c r="E587" i="1"/>
  <c r="C604" i="1"/>
  <c r="D604" i="1"/>
  <c r="E604" i="1"/>
  <c r="C572" i="1"/>
  <c r="D572" i="1"/>
  <c r="E572" i="1"/>
  <c r="C609" i="1"/>
  <c r="D609" i="1"/>
  <c r="E609" i="1"/>
  <c r="C632" i="1"/>
  <c r="D632" i="1"/>
  <c r="E632" i="1"/>
  <c r="C561" i="1"/>
  <c r="E561" i="1"/>
  <c r="C102" i="1"/>
  <c r="E102" i="1"/>
  <c r="C103" i="1"/>
  <c r="D103" i="1"/>
  <c r="E103" i="1"/>
  <c r="C79" i="1"/>
  <c r="E79" i="1"/>
  <c r="C69" i="1"/>
  <c r="D69" i="1"/>
  <c r="E69" i="1"/>
  <c r="C80" i="1"/>
  <c r="D80" i="1"/>
  <c r="E80" i="1"/>
  <c r="C98" i="1"/>
  <c r="D98" i="1"/>
  <c r="E98" i="1"/>
  <c r="C85" i="1"/>
  <c r="D85" i="1"/>
  <c r="E85" i="1"/>
  <c r="C73" i="1"/>
  <c r="D73" i="1"/>
  <c r="E73" i="1"/>
  <c r="C61" i="1"/>
  <c r="D61" i="1"/>
  <c r="E61" i="1"/>
  <c r="C95" i="1"/>
  <c r="D95" i="1"/>
  <c r="E95" i="1"/>
  <c r="C86" i="1"/>
  <c r="D86" i="1"/>
  <c r="E86" i="1"/>
  <c r="C63" i="1"/>
  <c r="D63" i="1"/>
  <c r="E63" i="1"/>
  <c r="C92" i="1"/>
  <c r="D92" i="1"/>
  <c r="E92" i="1"/>
  <c r="C65" i="1"/>
  <c r="D65" i="1"/>
  <c r="E65" i="1"/>
  <c r="C105" i="1"/>
  <c r="D105" i="1"/>
  <c r="E105" i="1"/>
  <c r="C59" i="1"/>
  <c r="D59" i="1"/>
  <c r="E59" i="1"/>
  <c r="C77" i="1"/>
  <c r="D77" i="1"/>
  <c r="E77" i="1"/>
  <c r="C44" i="1"/>
  <c r="D44" i="1"/>
  <c r="E44" i="1"/>
  <c r="C56" i="1"/>
  <c r="E56" i="1"/>
  <c r="C74" i="1"/>
  <c r="D74" i="1"/>
  <c r="E74" i="1"/>
  <c r="C109" i="1"/>
  <c r="E109" i="1"/>
  <c r="C45" i="1"/>
  <c r="D45" i="1"/>
  <c r="E45" i="1"/>
  <c r="C49" i="1"/>
  <c r="D49" i="1"/>
  <c r="E49" i="1"/>
  <c r="C93" i="1"/>
  <c r="D93" i="1"/>
  <c r="E93" i="1"/>
  <c r="C54" i="1"/>
  <c r="D54" i="1"/>
  <c r="E54" i="1"/>
  <c r="C91" i="1"/>
  <c r="D91" i="1"/>
  <c r="E91" i="1"/>
  <c r="C52" i="1"/>
  <c r="D52" i="1"/>
  <c r="E52" i="1"/>
  <c r="C273" i="1"/>
  <c r="E273" i="1"/>
  <c r="C265" i="1"/>
  <c r="E265" i="1"/>
  <c r="C256" i="1"/>
  <c r="E256" i="1"/>
  <c r="C257" i="1"/>
  <c r="E257" i="1"/>
  <c r="C239" i="1"/>
  <c r="D239" i="1"/>
  <c r="E239" i="1"/>
  <c r="C276" i="1"/>
  <c r="D276" i="1"/>
  <c r="E276" i="1"/>
  <c r="C266" i="1"/>
  <c r="D266" i="1"/>
  <c r="E266" i="1"/>
  <c r="C250" i="1"/>
  <c r="E250" i="1"/>
  <c r="C261" i="1"/>
  <c r="E261" i="1"/>
  <c r="C277" i="1"/>
  <c r="E277" i="1"/>
  <c r="C278" i="1"/>
  <c r="D278" i="1"/>
  <c r="E278" i="1"/>
  <c r="C280" i="1"/>
  <c r="D280" i="1"/>
  <c r="E280" i="1"/>
  <c r="C232" i="1"/>
  <c r="D232" i="1"/>
  <c r="E232" i="1"/>
  <c r="C270" i="1"/>
  <c r="D270" i="1"/>
  <c r="E270" i="1"/>
  <c r="C267" i="1"/>
  <c r="D267" i="1"/>
  <c r="E267" i="1"/>
  <c r="C237" i="1"/>
  <c r="D237" i="1"/>
  <c r="E237" i="1"/>
  <c r="C269" i="1"/>
  <c r="D269" i="1"/>
  <c r="E269" i="1"/>
  <c r="C279" i="1"/>
  <c r="D279" i="1"/>
  <c r="E279" i="1"/>
  <c r="C259" i="1"/>
  <c r="D259" i="1"/>
  <c r="E259" i="1"/>
  <c r="C247" i="1"/>
  <c r="E247" i="1"/>
  <c r="C245" i="1"/>
  <c r="D245" i="1"/>
  <c r="E245" i="1"/>
  <c r="C248" i="1"/>
  <c r="D248" i="1"/>
  <c r="E248" i="1"/>
  <c r="C252" i="1"/>
  <c r="E252" i="1"/>
  <c r="C233" i="1"/>
  <c r="D233" i="1"/>
  <c r="E233" i="1"/>
  <c r="C271" i="1"/>
  <c r="D271" i="1"/>
  <c r="E271" i="1"/>
  <c r="C255" i="1"/>
  <c r="D255" i="1"/>
  <c r="E255" i="1"/>
  <c r="C243" i="1"/>
  <c r="D243" i="1"/>
  <c r="E243" i="1"/>
  <c r="C235" i="1"/>
  <c r="D235" i="1"/>
  <c r="E235" i="1"/>
  <c r="C241" i="1"/>
  <c r="D241" i="1"/>
  <c r="E241" i="1"/>
  <c r="C973" i="1"/>
  <c r="E973" i="1"/>
  <c r="C1006" i="1"/>
  <c r="E1006" i="1"/>
  <c r="C979" i="1"/>
  <c r="E979" i="1"/>
  <c r="C970" i="1"/>
  <c r="E970" i="1"/>
  <c r="C976" i="1"/>
  <c r="E976" i="1"/>
  <c r="C983" i="1"/>
  <c r="E983" i="1"/>
  <c r="C975" i="1"/>
  <c r="E975" i="1"/>
  <c r="C967" i="1"/>
  <c r="D967" i="1"/>
  <c r="E967" i="1"/>
  <c r="C1005" i="1"/>
  <c r="D1005" i="1"/>
  <c r="E1005" i="1"/>
  <c r="C1004" i="1"/>
  <c r="D1004" i="1"/>
  <c r="E1004" i="1"/>
  <c r="C982" i="1"/>
  <c r="D982" i="1"/>
  <c r="E982" i="1"/>
  <c r="C974" i="1"/>
  <c r="D974" i="1"/>
  <c r="E974" i="1"/>
  <c r="C1001" i="1"/>
  <c r="E1001" i="1"/>
  <c r="C977" i="1"/>
  <c r="D977" i="1"/>
  <c r="E977" i="1"/>
  <c r="C986" i="1"/>
  <c r="D986" i="1"/>
  <c r="E986" i="1"/>
  <c r="C1000" i="1"/>
  <c r="D1000" i="1"/>
  <c r="E1000" i="1"/>
  <c r="C981" i="1"/>
  <c r="D981" i="1"/>
  <c r="E981" i="1"/>
  <c r="C991" i="1"/>
  <c r="D991" i="1"/>
  <c r="E991" i="1"/>
  <c r="C996" i="1"/>
  <c r="D996" i="1"/>
  <c r="E996" i="1"/>
  <c r="C993" i="1"/>
  <c r="D993" i="1"/>
  <c r="E993" i="1"/>
  <c r="C1110" i="1"/>
  <c r="D1110" i="1"/>
  <c r="E1110" i="1"/>
  <c r="C1081" i="1"/>
  <c r="D1081" i="1"/>
  <c r="E1081" i="1"/>
  <c r="C1057" i="1"/>
  <c r="E1057" i="1"/>
  <c r="C1091" i="1"/>
  <c r="E1091" i="1"/>
  <c r="C1073" i="1"/>
  <c r="E1073" i="1"/>
  <c r="C1072" i="1"/>
  <c r="D1072" i="1"/>
  <c r="E1072" i="1"/>
  <c r="C1101" i="1"/>
  <c r="D1101" i="1"/>
  <c r="E1101" i="1"/>
  <c r="C1080" i="1"/>
  <c r="D1080" i="1"/>
  <c r="E1080" i="1"/>
  <c r="C1082" i="1"/>
  <c r="D1082" i="1"/>
  <c r="E1082" i="1"/>
  <c r="C1120" i="1"/>
  <c r="E1120" i="1"/>
  <c r="C1123" i="1"/>
  <c r="E1123" i="1"/>
  <c r="C1051" i="1"/>
  <c r="D1051" i="1"/>
  <c r="E1051" i="1"/>
  <c r="C1127" i="1"/>
  <c r="E1127" i="1"/>
  <c r="C1129" i="1"/>
  <c r="D1129" i="1"/>
  <c r="E1129" i="1"/>
  <c r="C1055" i="1"/>
  <c r="D1055" i="1"/>
  <c r="E1055" i="1"/>
  <c r="C1134" i="1"/>
  <c r="D1134" i="1"/>
  <c r="E1134" i="1"/>
  <c r="C1061" i="1"/>
  <c r="E1061" i="1"/>
  <c r="C1059" i="1"/>
  <c r="D1059" i="1"/>
  <c r="E1059" i="1"/>
  <c r="C1089" i="1"/>
  <c r="D1089" i="1"/>
  <c r="E1089" i="1"/>
  <c r="C1083" i="1"/>
  <c r="E1083" i="1"/>
  <c r="C1053" i="1"/>
  <c r="D1053" i="1"/>
  <c r="E1053" i="1"/>
  <c r="C1104" i="1"/>
  <c r="D1104" i="1"/>
  <c r="E1104" i="1"/>
  <c r="C1109" i="1"/>
  <c r="D1109" i="1"/>
  <c r="E1109" i="1"/>
  <c r="C1138" i="1"/>
  <c r="D1138" i="1"/>
  <c r="E1138" i="1"/>
  <c r="C1141" i="1"/>
  <c r="E1141" i="1"/>
  <c r="C1113" i="1"/>
  <c r="E1113" i="1"/>
  <c r="C1115" i="1"/>
  <c r="E1115" i="1"/>
  <c r="C1063" i="1"/>
  <c r="D1063" i="1"/>
  <c r="E1063" i="1"/>
  <c r="C1126" i="1"/>
  <c r="E1126" i="1"/>
  <c r="C1107" i="1"/>
  <c r="D1107" i="1"/>
  <c r="E1107" i="1"/>
  <c r="C1136" i="1"/>
  <c r="D1136" i="1"/>
  <c r="E1136" i="1"/>
  <c r="C1095" i="1"/>
  <c r="D1095" i="1"/>
  <c r="E1095" i="1"/>
  <c r="C1114" i="1"/>
  <c r="D1114" i="1"/>
  <c r="E1114" i="1"/>
  <c r="C1105" i="1"/>
  <c r="D1105" i="1"/>
  <c r="E1105" i="1"/>
  <c r="C1103" i="1"/>
  <c r="D1103" i="1"/>
  <c r="E1103" i="1"/>
  <c r="C1065" i="1"/>
  <c r="E1065" i="1"/>
  <c r="C1085" i="1"/>
  <c r="D1085" i="1"/>
  <c r="E1085" i="1"/>
  <c r="C163" i="1"/>
  <c r="D163" i="1"/>
  <c r="E163" i="1"/>
  <c r="C147" i="1"/>
  <c r="D147" i="1"/>
  <c r="E147" i="1"/>
  <c r="C142" i="1"/>
  <c r="E142" i="1"/>
  <c r="C151" i="1"/>
  <c r="E151" i="1"/>
  <c r="C139" i="1"/>
  <c r="D139" i="1"/>
  <c r="E139" i="1"/>
  <c r="C158" i="1"/>
  <c r="D158" i="1"/>
  <c r="E158" i="1"/>
  <c r="C159" i="1"/>
  <c r="D159" i="1"/>
  <c r="E159" i="1"/>
  <c r="C154" i="1"/>
  <c r="D154" i="1"/>
  <c r="E154" i="1"/>
  <c r="C153" i="1"/>
  <c r="E153" i="1"/>
  <c r="C148" i="1"/>
  <c r="D148" i="1"/>
  <c r="E148" i="1"/>
  <c r="C157" i="1"/>
  <c r="E157" i="1"/>
  <c r="C144" i="1"/>
  <c r="E144" i="1"/>
  <c r="C145" i="1"/>
  <c r="E145" i="1"/>
  <c r="C653" i="1"/>
  <c r="E653" i="1"/>
  <c r="C702" i="1"/>
  <c r="E702" i="1"/>
  <c r="C677" i="1"/>
  <c r="E677" i="1"/>
  <c r="C671" i="1"/>
  <c r="E671" i="1"/>
  <c r="C695" i="1"/>
  <c r="D695" i="1"/>
  <c r="E695" i="1"/>
  <c r="C698" i="1"/>
  <c r="D698" i="1"/>
  <c r="E698" i="1"/>
  <c r="C714" i="1"/>
  <c r="D714" i="1"/>
  <c r="E714" i="1"/>
  <c r="C672" i="1"/>
  <c r="D672" i="1"/>
  <c r="E672" i="1"/>
  <c r="C686" i="1"/>
  <c r="D686" i="1"/>
  <c r="E686" i="1"/>
  <c r="C684" i="1"/>
  <c r="D684" i="1"/>
  <c r="E684" i="1"/>
  <c r="C705" i="1"/>
  <c r="E705" i="1"/>
  <c r="C661" i="1"/>
  <c r="D661" i="1"/>
  <c r="E661" i="1"/>
  <c r="C709" i="1"/>
  <c r="E709" i="1"/>
  <c r="C655" i="1"/>
  <c r="D655" i="1"/>
  <c r="E655" i="1"/>
  <c r="C663" i="1"/>
  <c r="D663" i="1"/>
  <c r="E663" i="1"/>
  <c r="C683" i="1"/>
  <c r="D683" i="1"/>
  <c r="E683" i="1"/>
  <c r="C690" i="1"/>
  <c r="D690" i="1"/>
  <c r="E690" i="1"/>
  <c r="C688" i="1"/>
  <c r="E688" i="1"/>
  <c r="C701" i="1"/>
  <c r="E701" i="1"/>
  <c r="C674" i="1"/>
  <c r="D674" i="1"/>
  <c r="E674" i="1"/>
  <c r="C679" i="1"/>
  <c r="D679" i="1"/>
  <c r="E679" i="1"/>
  <c r="C662" i="1"/>
  <c r="D662" i="1"/>
  <c r="E662" i="1"/>
  <c r="C699" i="1"/>
  <c r="E699" i="1"/>
  <c r="C669" i="1"/>
  <c r="D669" i="1"/>
  <c r="E669" i="1"/>
  <c r="C668" i="1"/>
  <c r="D668" i="1"/>
  <c r="E668" i="1"/>
  <c r="C657" i="1"/>
  <c r="D657" i="1"/>
  <c r="E657" i="1"/>
  <c r="C205" i="1"/>
  <c r="E205" i="1"/>
  <c r="C227" i="1"/>
  <c r="D227" i="1"/>
  <c r="E227" i="1"/>
  <c r="C206" i="1"/>
  <c r="E206" i="1"/>
  <c r="C192" i="1"/>
  <c r="E192" i="1"/>
  <c r="C182" i="1"/>
  <c r="D182" i="1"/>
  <c r="E182" i="1"/>
  <c r="C211" i="1"/>
  <c r="D211" i="1"/>
  <c r="E211" i="1"/>
  <c r="C193" i="1"/>
  <c r="D193" i="1"/>
  <c r="E193" i="1"/>
  <c r="C201" i="1"/>
  <c r="D201" i="1"/>
  <c r="E201" i="1"/>
  <c r="C185" i="1"/>
  <c r="D185" i="1"/>
  <c r="E185" i="1"/>
  <c r="C191" i="1"/>
  <c r="D191" i="1"/>
  <c r="E191" i="1"/>
  <c r="C179" i="1"/>
  <c r="D179" i="1"/>
  <c r="E179" i="1"/>
  <c r="C207" i="1"/>
  <c r="D207" i="1"/>
  <c r="E207" i="1"/>
  <c r="C213" i="1"/>
  <c r="D213" i="1"/>
  <c r="E213" i="1"/>
  <c r="C186" i="1"/>
  <c r="D186" i="1"/>
  <c r="E186" i="1"/>
  <c r="C219" i="1"/>
  <c r="D219" i="1"/>
  <c r="E219" i="1"/>
  <c r="C229" i="1"/>
  <c r="D229" i="1"/>
  <c r="E229" i="1"/>
  <c r="C177" i="1"/>
  <c r="D177" i="1"/>
  <c r="E177" i="1"/>
  <c r="C196" i="1"/>
  <c r="D196" i="1"/>
  <c r="E196" i="1"/>
  <c r="C224" i="1"/>
  <c r="D224" i="1"/>
  <c r="E224" i="1"/>
  <c r="C215" i="1"/>
  <c r="D215" i="1"/>
  <c r="E215" i="1"/>
  <c r="C183" i="1"/>
  <c r="D183" i="1"/>
  <c r="E183" i="1"/>
  <c r="C221" i="1"/>
  <c r="D221" i="1"/>
  <c r="E221" i="1"/>
  <c r="C218" i="1"/>
  <c r="D218" i="1"/>
  <c r="E218" i="1"/>
  <c r="C209" i="1"/>
  <c r="E209" i="1"/>
  <c r="C198" i="1"/>
  <c r="D198" i="1"/>
  <c r="E198" i="1"/>
  <c r="C194" i="1"/>
  <c r="D194" i="1"/>
  <c r="E194" i="1"/>
  <c r="C913" i="1"/>
  <c r="E913" i="1"/>
  <c r="C909" i="1"/>
  <c r="D909" i="1"/>
  <c r="E909" i="1"/>
  <c r="C872" i="1"/>
  <c r="E872" i="1"/>
  <c r="C891" i="1"/>
  <c r="D891" i="1"/>
  <c r="E891" i="1"/>
  <c r="C880" i="1"/>
  <c r="E880" i="1"/>
  <c r="C885" i="1"/>
  <c r="E885" i="1"/>
  <c r="C897" i="1"/>
  <c r="D897" i="1"/>
  <c r="E897" i="1"/>
  <c r="C896" i="1"/>
  <c r="D896" i="1"/>
  <c r="E896" i="1"/>
  <c r="C874" i="1"/>
  <c r="D874" i="1"/>
  <c r="E874" i="1"/>
  <c r="C869" i="1"/>
  <c r="E869" i="1"/>
  <c r="C899" i="1"/>
  <c r="E899" i="1"/>
  <c r="C916" i="1"/>
  <c r="D916" i="1"/>
  <c r="E916" i="1"/>
  <c r="C871" i="1"/>
  <c r="D871" i="1"/>
  <c r="E871" i="1"/>
  <c r="C904" i="1"/>
  <c r="D904" i="1"/>
  <c r="E904" i="1"/>
  <c r="C926" i="1"/>
  <c r="E926" i="1"/>
  <c r="C894" i="1"/>
  <c r="D894" i="1"/>
  <c r="E894" i="1"/>
  <c r="C883" i="1"/>
  <c r="E883" i="1"/>
  <c r="C928" i="1"/>
  <c r="D928" i="1"/>
  <c r="E928" i="1"/>
  <c r="C888" i="1"/>
  <c r="E888" i="1"/>
  <c r="C889" i="1"/>
  <c r="E889" i="1"/>
  <c r="C910" i="1"/>
  <c r="D910" i="1"/>
  <c r="E910" i="1"/>
  <c r="C915" i="1"/>
  <c r="D915" i="1"/>
  <c r="E915" i="1"/>
  <c r="C881" i="1"/>
  <c r="D881" i="1"/>
  <c r="E881" i="1"/>
  <c r="C922" i="1"/>
  <c r="D922" i="1"/>
  <c r="E922" i="1"/>
  <c r="C906" i="1"/>
  <c r="D906" i="1"/>
  <c r="E906" i="1"/>
  <c r="C893" i="1"/>
  <c r="D893" i="1"/>
  <c r="E893" i="1"/>
  <c r="C882" i="1"/>
  <c r="D882" i="1"/>
  <c r="C902" i="1"/>
  <c r="D902" i="1"/>
  <c r="C381" i="1"/>
  <c r="D381" i="1"/>
  <c r="E381" i="1"/>
  <c r="C386" i="1"/>
  <c r="D386" i="1"/>
  <c r="E386" i="1"/>
  <c r="C371" i="1"/>
  <c r="D371" i="1"/>
  <c r="E371" i="1"/>
  <c r="C364" i="1"/>
  <c r="D364" i="1"/>
  <c r="E364" i="1"/>
  <c r="C368" i="1"/>
  <c r="E368" i="1"/>
  <c r="C348" i="1"/>
  <c r="E348" i="1"/>
  <c r="C332" i="1"/>
  <c r="E332" i="1"/>
  <c r="C338" i="1"/>
  <c r="E338" i="1"/>
  <c r="C340" i="1"/>
  <c r="D340" i="1"/>
  <c r="E340" i="1"/>
  <c r="C394" i="1"/>
  <c r="D394" i="1"/>
  <c r="E394" i="1"/>
  <c r="C362" i="1"/>
  <c r="D362" i="1"/>
  <c r="E362" i="1"/>
  <c r="C341" i="1"/>
  <c r="E341" i="1"/>
  <c r="C366" i="1"/>
  <c r="D366" i="1"/>
  <c r="E366" i="1"/>
  <c r="C334" i="1"/>
  <c r="D334" i="1"/>
  <c r="E334" i="1"/>
  <c r="C367" i="1"/>
  <c r="E367" i="1"/>
  <c r="C391" i="1"/>
  <c r="E391" i="1"/>
  <c r="C353" i="1"/>
  <c r="D353" i="1"/>
  <c r="E353" i="1"/>
  <c r="C355" i="1"/>
  <c r="E355" i="1"/>
  <c r="C390" i="1"/>
  <c r="D390" i="1"/>
  <c r="E390" i="1"/>
  <c r="C357" i="1"/>
  <c r="D357" i="1"/>
  <c r="E357" i="1"/>
  <c r="C336" i="1"/>
  <c r="E336" i="1"/>
  <c r="C375" i="1"/>
  <c r="D375" i="1"/>
  <c r="E375" i="1"/>
  <c r="C397" i="1"/>
  <c r="D397" i="1"/>
  <c r="E397" i="1"/>
  <c r="C373" i="1"/>
  <c r="D373" i="1"/>
  <c r="E373" i="1"/>
  <c r="C385" i="1"/>
  <c r="D385" i="1"/>
  <c r="E385" i="1"/>
  <c r="C359" i="1"/>
  <c r="E359" i="1"/>
  <c r="C395" i="1"/>
  <c r="D395" i="1"/>
  <c r="E395" i="1"/>
  <c r="C376" i="1"/>
  <c r="E376" i="1"/>
  <c r="C378" i="1"/>
  <c r="D378" i="1"/>
  <c r="E378" i="1"/>
  <c r="C389" i="1"/>
  <c r="D389" i="1"/>
  <c r="E389" i="1"/>
  <c r="C365" i="1"/>
  <c r="D365" i="1"/>
  <c r="E365" i="1"/>
  <c r="C347" i="1"/>
  <c r="D347" i="1"/>
  <c r="E347" i="1"/>
  <c r="C343" i="1"/>
  <c r="D343" i="1"/>
  <c r="E343" i="1"/>
  <c r="C963" i="1"/>
  <c r="E963" i="1"/>
  <c r="C947" i="1"/>
  <c r="E947" i="1"/>
  <c r="C952" i="1"/>
  <c r="E952" i="1"/>
  <c r="C954" i="1"/>
  <c r="D954" i="1"/>
  <c r="E954" i="1"/>
  <c r="C940" i="1"/>
  <c r="D940" i="1"/>
  <c r="E940" i="1"/>
  <c r="C941" i="1"/>
  <c r="D941" i="1"/>
  <c r="E941" i="1"/>
  <c r="C933" i="1"/>
  <c r="D933" i="1"/>
  <c r="E933" i="1"/>
  <c r="C955" i="1"/>
  <c r="D955" i="1"/>
  <c r="E955" i="1"/>
  <c r="C958" i="1"/>
  <c r="D958" i="1"/>
  <c r="E958" i="1"/>
  <c r="C959" i="1"/>
  <c r="D959" i="1"/>
  <c r="E959" i="1"/>
  <c r="C949" i="1"/>
  <c r="D949" i="1"/>
  <c r="E949" i="1"/>
  <c r="C951" i="1"/>
  <c r="E951" i="1"/>
  <c r="E935" i="1"/>
  <c r="C937" i="1"/>
  <c r="E937" i="1"/>
  <c r="C932" i="1"/>
  <c r="D932" i="1"/>
  <c r="E932" i="1"/>
  <c r="C961" i="1"/>
  <c r="E961" i="1"/>
  <c r="C944" i="1"/>
  <c r="D944" i="1"/>
  <c r="C939" i="1"/>
  <c r="D939" i="1"/>
  <c r="C803" i="1"/>
  <c r="E803" i="1"/>
  <c r="C732" i="1"/>
  <c r="D732" i="1"/>
  <c r="E732" i="1"/>
  <c r="C808" i="1"/>
  <c r="D808" i="1"/>
  <c r="E808" i="1"/>
  <c r="C814" i="1"/>
  <c r="D814" i="1"/>
  <c r="E814" i="1"/>
  <c r="C726" i="1"/>
  <c r="D726" i="1"/>
  <c r="E726" i="1"/>
  <c r="C766" i="1"/>
  <c r="E766" i="1"/>
  <c r="C783" i="1"/>
  <c r="D783" i="1"/>
  <c r="E783" i="1"/>
  <c r="C786" i="1"/>
  <c r="D786" i="1"/>
  <c r="E786" i="1"/>
  <c r="C813" i="1"/>
  <c r="D813" i="1"/>
  <c r="E813" i="1"/>
  <c r="C735" i="1"/>
  <c r="D735" i="1"/>
  <c r="E735" i="1"/>
  <c r="C837" i="1"/>
  <c r="D837" i="1"/>
  <c r="E837" i="1"/>
  <c r="C840" i="1"/>
  <c r="D840" i="1"/>
  <c r="E840" i="1"/>
  <c r="C845" i="1"/>
  <c r="D845" i="1"/>
  <c r="E845" i="1"/>
  <c r="C847" i="1"/>
  <c r="D847" i="1"/>
  <c r="E847" i="1"/>
  <c r="C719" i="1"/>
  <c r="E719" i="1"/>
  <c r="C865" i="1"/>
  <c r="E865" i="1"/>
  <c r="C858" i="1"/>
  <c r="D858" i="1"/>
  <c r="E858" i="1"/>
  <c r="C862" i="1"/>
  <c r="D862" i="1"/>
  <c r="E862" i="1"/>
  <c r="C857" i="1"/>
  <c r="E857" i="1"/>
  <c r="C815" i="1"/>
  <c r="D815" i="1"/>
  <c r="E815" i="1"/>
  <c r="C853" i="1"/>
  <c r="D853" i="1"/>
  <c r="E853" i="1"/>
  <c r="C849" i="1"/>
  <c r="D849" i="1"/>
  <c r="E849" i="1"/>
  <c r="C820" i="1"/>
  <c r="D820" i="1"/>
  <c r="E820" i="1"/>
  <c r="C769" i="1"/>
  <c r="D769" i="1"/>
  <c r="E769" i="1"/>
  <c r="C830" i="1"/>
  <c r="D830" i="1"/>
  <c r="E830" i="1"/>
  <c r="C757" i="1"/>
  <c r="D757" i="1"/>
  <c r="E757" i="1"/>
  <c r="C743" i="1"/>
  <c r="D743" i="1"/>
  <c r="E743" i="1"/>
  <c r="C855" i="1"/>
  <c r="E855" i="1"/>
  <c r="C848" i="1"/>
  <c r="E848" i="1"/>
  <c r="C777" i="1"/>
  <c r="D777" i="1"/>
  <c r="E777" i="1"/>
  <c r="C720" i="1"/>
  <c r="E720" i="1"/>
  <c r="C851" i="1"/>
  <c r="D851" i="1"/>
  <c r="E851" i="1"/>
  <c r="C809" i="1"/>
  <c r="D809" i="1"/>
  <c r="E809" i="1"/>
  <c r="C774" i="1"/>
  <c r="D774" i="1"/>
  <c r="E774" i="1"/>
  <c r="C812" i="1"/>
  <c r="D812" i="1"/>
  <c r="E812" i="1"/>
  <c r="C817" i="1"/>
  <c r="D817" i="1"/>
  <c r="E817" i="1"/>
  <c r="C789" i="1"/>
  <c r="D789" i="1"/>
  <c r="E789" i="1"/>
  <c r="C843" i="1"/>
  <c r="D843" i="1"/>
  <c r="E843" i="1"/>
  <c r="C811" i="1"/>
  <c r="D811" i="1"/>
  <c r="E811" i="1"/>
  <c r="C856" i="1"/>
  <c r="E856" i="1"/>
  <c r="C819" i="1"/>
  <c r="E819" i="1"/>
  <c r="C723" i="1"/>
  <c r="E723" i="1"/>
  <c r="C785" i="1"/>
  <c r="D785" i="1"/>
  <c r="E785" i="1"/>
  <c r="C739" i="1"/>
  <c r="D739" i="1"/>
  <c r="E739" i="1"/>
  <c r="C828" i="1"/>
  <c r="D828" i="1"/>
  <c r="E828" i="1"/>
  <c r="C818" i="1"/>
  <c r="E818" i="1"/>
  <c r="C792" i="1"/>
  <c r="D792" i="1"/>
  <c r="E792" i="1"/>
  <c r="C718" i="1"/>
  <c r="D718" i="1"/>
  <c r="E718" i="1"/>
  <c r="C750" i="1"/>
  <c r="D750" i="1"/>
  <c r="E750" i="1"/>
  <c r="C741" i="1"/>
  <c r="D741" i="1"/>
  <c r="E741" i="1"/>
  <c r="C806" i="1"/>
  <c r="E806" i="1"/>
  <c r="C859" i="1"/>
  <c r="D859" i="1"/>
  <c r="E859" i="1"/>
  <c r="C756" i="1"/>
  <c r="E756" i="1"/>
  <c r="C748" i="1"/>
  <c r="E748" i="1"/>
  <c r="C867" i="1"/>
  <c r="D867" i="1"/>
  <c r="E867" i="1"/>
  <c r="C753" i="1"/>
  <c r="D753" i="1"/>
  <c r="E753" i="1"/>
  <c r="C787" i="1"/>
  <c r="D787" i="1"/>
  <c r="E787" i="1"/>
  <c r="C763" i="1"/>
  <c r="D763" i="1"/>
  <c r="E763" i="1"/>
  <c r="C799" i="1"/>
  <c r="E799" i="1"/>
  <c r="C797" i="1"/>
  <c r="E797" i="1"/>
  <c r="C749" i="1"/>
  <c r="D749" i="1"/>
  <c r="E749" i="1"/>
  <c r="C746" i="1"/>
  <c r="E746" i="1"/>
  <c r="C729" i="1"/>
  <c r="E729" i="1"/>
  <c r="C728" i="1"/>
  <c r="E728" i="1"/>
  <c r="C781" i="1"/>
  <c r="D781" i="1"/>
  <c r="E781" i="1"/>
  <c r="C764" i="1"/>
  <c r="D764" i="1"/>
  <c r="E764" i="1"/>
  <c r="C795" i="1"/>
  <c r="D795" i="1"/>
  <c r="E795" i="1"/>
  <c r="C834" i="1"/>
  <c r="D834" i="1"/>
  <c r="E834" i="1"/>
  <c r="C804" i="1"/>
  <c r="D804" i="1"/>
  <c r="E804" i="1"/>
  <c r="C832" i="1"/>
  <c r="D832" i="1"/>
  <c r="E832" i="1"/>
  <c r="C762" i="1"/>
  <c r="D762" i="1"/>
  <c r="C827" i="1"/>
  <c r="D827" i="1"/>
  <c r="E827" i="1"/>
  <c r="C767" i="1"/>
  <c r="E767" i="1"/>
  <c r="C1016" i="1"/>
  <c r="D1016" i="1"/>
  <c r="E1016" i="1"/>
  <c r="C1014" i="1"/>
  <c r="D1014" i="1"/>
  <c r="E1014" i="1"/>
  <c r="C1024" i="1"/>
  <c r="D1024" i="1"/>
  <c r="E1024" i="1"/>
  <c r="C1012" i="1"/>
  <c r="D1012" i="1"/>
  <c r="E1012" i="1"/>
  <c r="C1019" i="1"/>
  <c r="D1019" i="1"/>
  <c r="E1019" i="1"/>
  <c r="C1036" i="1"/>
  <c r="D1036" i="1"/>
  <c r="E1036" i="1"/>
  <c r="C1013" i="1"/>
  <c r="D1013" i="1"/>
  <c r="E1013" i="1"/>
  <c r="C1010" i="1"/>
  <c r="E1010" i="1"/>
  <c r="C1033" i="1"/>
  <c r="D1033" i="1"/>
  <c r="E1033" i="1"/>
  <c r="C1038" i="1"/>
  <c r="D1038" i="1"/>
  <c r="E1038" i="1"/>
  <c r="C1030" i="1"/>
  <c r="E1030" i="1"/>
  <c r="C1026" i="1"/>
  <c r="D1026" i="1"/>
  <c r="E1026" i="1"/>
  <c r="C1035" i="1"/>
  <c r="D1035" i="1"/>
  <c r="E1035" i="1"/>
  <c r="C1020" i="1"/>
  <c r="D1020" i="1"/>
  <c r="E1020" i="1"/>
  <c r="C1023" i="1"/>
  <c r="D1023" i="1"/>
  <c r="E1023" i="1"/>
  <c r="C1015" i="1"/>
  <c r="D1015" i="1"/>
  <c r="E1015" i="1"/>
  <c r="C169" i="1"/>
  <c r="E169" i="1"/>
  <c r="C167" i="1"/>
  <c r="E167" i="1"/>
  <c r="C172" i="1"/>
  <c r="D172" i="1"/>
  <c r="E172" i="1"/>
  <c r="C176" i="1"/>
  <c r="E176" i="1"/>
  <c r="C171" i="1"/>
  <c r="D171" i="1"/>
  <c r="E171" i="1"/>
  <c r="C165" i="1"/>
  <c r="E165" i="1"/>
  <c r="C442" i="1"/>
  <c r="D442" i="1"/>
  <c r="E442" i="1"/>
  <c r="C496" i="1"/>
  <c r="D496" i="1"/>
  <c r="E496" i="1"/>
  <c r="C445" i="1"/>
  <c r="D445" i="1"/>
  <c r="E445" i="1"/>
  <c r="C443" i="1"/>
  <c r="E443" i="1"/>
  <c r="C446" i="1"/>
  <c r="D446" i="1"/>
  <c r="E446" i="1"/>
  <c r="C497" i="1"/>
  <c r="E497" i="1"/>
  <c r="C492" i="1"/>
  <c r="D492" i="1"/>
  <c r="E492" i="1"/>
  <c r="C502" i="1"/>
  <c r="E502" i="1"/>
  <c r="C457" i="1"/>
  <c r="D457" i="1"/>
  <c r="E457" i="1"/>
  <c r="C489" i="1"/>
  <c r="D489" i="1"/>
  <c r="E489" i="1"/>
  <c r="C488" i="1"/>
  <c r="D488" i="1"/>
  <c r="E488" i="1"/>
  <c r="C490" i="1"/>
  <c r="D490" i="1"/>
  <c r="E490" i="1"/>
  <c r="C466" i="1"/>
  <c r="D466" i="1"/>
  <c r="E466" i="1"/>
  <c r="C463" i="1"/>
  <c r="D463" i="1"/>
  <c r="E463" i="1"/>
  <c r="C468" i="1"/>
  <c r="D468" i="1"/>
  <c r="E468" i="1"/>
  <c r="C481" i="1"/>
  <c r="D481" i="1"/>
  <c r="E481" i="1"/>
  <c r="C450" i="1"/>
  <c r="D450" i="1"/>
  <c r="E450" i="1"/>
  <c r="C458" i="1"/>
  <c r="D458" i="1"/>
  <c r="E458" i="1"/>
  <c r="C455" i="1"/>
  <c r="D455" i="1"/>
  <c r="E455" i="1"/>
  <c r="C437" i="1"/>
  <c r="D437" i="1"/>
  <c r="E437" i="1"/>
  <c r="C503" i="1"/>
  <c r="D503" i="1"/>
  <c r="E503" i="1"/>
  <c r="C459" i="1"/>
  <c r="D459" i="1"/>
  <c r="E459" i="1"/>
  <c r="C432" i="1"/>
  <c r="D432" i="1"/>
  <c r="E432" i="1"/>
  <c r="C433" i="1"/>
  <c r="D433" i="1"/>
  <c r="E433" i="1"/>
  <c r="C477" i="1"/>
  <c r="E477" i="1"/>
  <c r="C491" i="1"/>
  <c r="D491" i="1"/>
  <c r="E491" i="1"/>
  <c r="C506" i="1"/>
  <c r="D506" i="1"/>
  <c r="E506" i="1"/>
  <c r="C440" i="1"/>
  <c r="D440" i="1"/>
  <c r="E440" i="1"/>
  <c r="C483" i="1"/>
  <c r="D483" i="1"/>
  <c r="E483" i="1"/>
  <c r="C448" i="1"/>
  <c r="D448" i="1"/>
  <c r="E448" i="1"/>
  <c r="C470" i="1"/>
  <c r="E470" i="1"/>
  <c r="C471" i="1"/>
  <c r="D471" i="1"/>
  <c r="E471" i="1"/>
  <c r="C452" i="1"/>
  <c r="D452" i="1"/>
  <c r="E452" i="1"/>
  <c r="C461" i="1"/>
  <c r="D461" i="1"/>
  <c r="E461" i="1"/>
  <c r="C439" i="1"/>
  <c r="D439" i="1"/>
  <c r="E439" i="1"/>
  <c r="C505" i="1"/>
  <c r="D505" i="1"/>
  <c r="E505" i="1"/>
  <c r="C480" i="1"/>
  <c r="D480" i="1"/>
  <c r="E480" i="1"/>
  <c r="C486" i="1"/>
  <c r="D486" i="1"/>
  <c r="E486" i="1"/>
  <c r="C435" i="1"/>
  <c r="E435" i="1"/>
  <c r="C476" i="1"/>
  <c r="E476" i="1"/>
  <c r="C495" i="1"/>
  <c r="D495" i="1"/>
  <c r="E495" i="1"/>
  <c r="C479" i="1"/>
  <c r="D479" i="1"/>
  <c r="E479" i="1"/>
  <c r="C6" i="1"/>
  <c r="D6" i="1"/>
  <c r="E6" i="1"/>
  <c r="C5" i="1"/>
  <c r="D5" i="1"/>
  <c r="E5" i="1"/>
  <c r="C3" i="1"/>
  <c r="E3" i="1"/>
  <c r="C1162" i="1"/>
  <c r="E1162" i="1"/>
  <c r="C1150" i="1"/>
  <c r="E1150" i="1"/>
  <c r="C1151" i="1"/>
  <c r="D1151" i="1"/>
  <c r="E1151" i="1"/>
  <c r="C1165" i="1"/>
  <c r="E1165" i="1"/>
  <c r="C1167" i="1"/>
  <c r="E1167" i="1"/>
  <c r="C1147" i="1"/>
  <c r="E1147" i="1"/>
  <c r="C1174" i="1"/>
  <c r="D1174" i="1"/>
  <c r="E1174" i="1"/>
  <c r="C1181" i="1"/>
  <c r="D1181" i="1"/>
  <c r="E1181" i="1"/>
  <c r="C1169" i="1"/>
  <c r="E1169" i="1"/>
  <c r="C1153" i="1"/>
  <c r="D1153" i="1"/>
  <c r="E1153" i="1"/>
  <c r="C1172" i="1"/>
  <c r="E1172" i="1"/>
  <c r="C1149" i="1"/>
  <c r="D1149" i="1"/>
  <c r="E1149" i="1"/>
  <c r="C1184" i="1"/>
  <c r="D1184" i="1"/>
  <c r="E1184" i="1"/>
  <c r="C1146" i="1"/>
  <c r="D1146" i="1"/>
  <c r="E1146" i="1"/>
  <c r="C1178" i="1"/>
  <c r="D1178" i="1"/>
  <c r="E1178" i="1"/>
  <c r="C287" i="1"/>
  <c r="D287" i="1"/>
  <c r="E287" i="1"/>
  <c r="C319" i="1"/>
  <c r="E319" i="1"/>
  <c r="C307" i="1"/>
  <c r="D307" i="1"/>
  <c r="E307" i="1"/>
  <c r="C300" i="1"/>
  <c r="E300" i="1"/>
  <c r="C291" i="1"/>
  <c r="E291" i="1"/>
  <c r="C327" i="1"/>
  <c r="D327" i="1"/>
  <c r="E327" i="1"/>
  <c r="C283" i="1"/>
  <c r="D283" i="1"/>
  <c r="E283" i="1"/>
  <c r="C312" i="1"/>
  <c r="E312" i="1"/>
  <c r="C298" i="1"/>
  <c r="D298" i="1"/>
  <c r="E298" i="1"/>
  <c r="C313" i="1"/>
  <c r="D313" i="1"/>
  <c r="E313" i="1"/>
  <c r="C296" i="1"/>
  <c r="D296" i="1"/>
  <c r="E296" i="1"/>
  <c r="C289" i="1"/>
  <c r="E289" i="1"/>
  <c r="C295" i="1"/>
  <c r="D295" i="1"/>
  <c r="E295" i="1"/>
  <c r="C309" i="1"/>
  <c r="E309" i="1"/>
  <c r="C282" i="1"/>
  <c r="D282" i="1"/>
  <c r="E282" i="1"/>
  <c r="C322" i="1"/>
  <c r="E322" i="1"/>
  <c r="C301" i="1"/>
  <c r="D301" i="1"/>
  <c r="E301" i="1"/>
  <c r="C304" i="1"/>
  <c r="D304" i="1"/>
  <c r="E304" i="1"/>
  <c r="C320" i="1"/>
  <c r="D320" i="1"/>
  <c r="E320" i="1"/>
  <c r="C324" i="1"/>
  <c r="E324" i="1"/>
  <c r="C318" i="1"/>
  <c r="D318" i="1"/>
  <c r="E318" i="1"/>
  <c r="C286" i="1"/>
  <c r="E286" i="1"/>
  <c r="C326" i="1"/>
  <c r="D326" i="1"/>
  <c r="C425" i="1"/>
  <c r="E425" i="1"/>
  <c r="C418" i="1"/>
  <c r="E418" i="1"/>
  <c r="C424" i="1"/>
  <c r="E424" i="1"/>
  <c r="C406" i="1"/>
  <c r="E406" i="1"/>
  <c r="C420" i="1"/>
  <c r="D420" i="1"/>
  <c r="E420" i="1"/>
  <c r="C410" i="1"/>
  <c r="E410" i="1"/>
  <c r="C416" i="1"/>
  <c r="D416" i="1"/>
  <c r="E416" i="1"/>
  <c r="C414" i="1"/>
  <c r="E414" i="1"/>
  <c r="C400" i="1"/>
  <c r="D400" i="1"/>
  <c r="E400" i="1"/>
  <c r="C412" i="1"/>
  <c r="E412" i="1"/>
  <c r="C413" i="1"/>
  <c r="E413" i="1"/>
  <c r="C409" i="1"/>
  <c r="E409" i="1"/>
  <c r="C428" i="1"/>
  <c r="D428" i="1"/>
  <c r="E428" i="1"/>
  <c r="C404" i="1"/>
  <c r="D404" i="1"/>
  <c r="E404" i="1"/>
  <c r="C407" i="1"/>
  <c r="D407" i="1"/>
  <c r="E407" i="1"/>
  <c r="C127" i="1"/>
  <c r="D127" i="1"/>
  <c r="E127" i="1"/>
  <c r="C132" i="1"/>
  <c r="E132" i="1"/>
  <c r="C135" i="1"/>
  <c r="D135" i="1"/>
  <c r="E135" i="1"/>
  <c r="C137" i="1"/>
  <c r="D137" i="1"/>
  <c r="E137" i="1"/>
  <c r="C115" i="1"/>
  <c r="D115" i="1"/>
  <c r="E115" i="1"/>
  <c r="C123" i="1"/>
  <c r="D123" i="1"/>
  <c r="E123" i="1"/>
  <c r="C133" i="1"/>
  <c r="D133" i="1"/>
  <c r="E133" i="1"/>
  <c r="C113" i="1"/>
  <c r="D113" i="1"/>
  <c r="E113" i="1"/>
  <c r="C138" i="1"/>
  <c r="D138" i="1"/>
  <c r="E138" i="1"/>
  <c r="C126" i="1"/>
  <c r="E126" i="1"/>
  <c r="C33" i="1"/>
  <c r="D33" i="1"/>
  <c r="E33" i="1"/>
  <c r="C17" i="1"/>
  <c r="E17" i="1"/>
  <c r="C37" i="1"/>
  <c r="D37" i="1"/>
  <c r="E37" i="1"/>
  <c r="C28" i="1"/>
  <c r="D28" i="1"/>
  <c r="E28" i="1"/>
  <c r="C31" i="1"/>
  <c r="E31" i="1"/>
  <c r="C12" i="1"/>
  <c r="D12" i="1"/>
  <c r="E12" i="1"/>
  <c r="C29" i="1"/>
  <c r="D29" i="1"/>
  <c r="E29" i="1"/>
  <c r="C23" i="1"/>
  <c r="D23" i="1"/>
  <c r="E23" i="1"/>
  <c r="C16" i="1"/>
  <c r="D16" i="1"/>
  <c r="E16" i="1"/>
  <c r="C26" i="1"/>
  <c r="D26" i="1"/>
  <c r="E26" i="1"/>
  <c r="C14" i="1"/>
  <c r="D14" i="1"/>
  <c r="E14" i="1"/>
  <c r="C36" i="1"/>
  <c r="D36" i="1"/>
  <c r="C1040" i="1"/>
  <c r="D1040" i="1"/>
  <c r="E1040" i="1"/>
  <c r="C1048" i="1"/>
  <c r="D1048" i="1"/>
  <c r="E1048" i="1"/>
  <c r="C1044" i="1"/>
  <c r="D1044" i="1"/>
  <c r="E1044" i="1"/>
  <c r="C1043" i="1"/>
  <c r="D1043" i="1"/>
  <c r="E1043" i="1"/>
  <c r="C965" i="1"/>
  <c r="D965" i="1"/>
  <c r="E965" i="1"/>
  <c r="C1041" i="1"/>
  <c r="D1041" i="1"/>
  <c r="E1041" i="1"/>
  <c r="C551" i="1"/>
  <c r="D551" i="1"/>
  <c r="E551" i="1"/>
  <c r="C607" i="1"/>
  <c r="D607" i="1"/>
  <c r="E607" i="1"/>
  <c r="C647" i="1"/>
  <c r="E647" i="1"/>
  <c r="C539" i="1"/>
  <c r="E539" i="1"/>
  <c r="C575" i="1"/>
  <c r="D575" i="1"/>
  <c r="E575" i="1"/>
  <c r="C522" i="1"/>
  <c r="D522" i="1"/>
  <c r="E522" i="1"/>
  <c r="C634" i="1"/>
  <c r="D634" i="1"/>
  <c r="E634" i="1"/>
  <c r="C614" i="1"/>
  <c r="E614" i="1"/>
  <c r="C528" i="1"/>
  <c r="D528" i="1"/>
  <c r="E528" i="1"/>
  <c r="C581" i="1"/>
  <c r="E581" i="1"/>
  <c r="C48" i="1"/>
  <c r="D48" i="1"/>
  <c r="E48" i="1"/>
  <c r="C71" i="1"/>
  <c r="E71" i="1"/>
  <c r="C42" i="1"/>
  <c r="E42" i="1"/>
  <c r="C43" i="1"/>
  <c r="D43" i="1"/>
  <c r="E43" i="1"/>
  <c r="C76" i="1"/>
  <c r="D76" i="1"/>
  <c r="E76" i="1"/>
  <c r="C234" i="1"/>
  <c r="D234" i="1"/>
  <c r="E234" i="1"/>
  <c r="C231" i="1"/>
  <c r="D231" i="1"/>
  <c r="E231" i="1"/>
  <c r="C238" i="1"/>
  <c r="D238" i="1"/>
  <c r="E238" i="1"/>
  <c r="C244" i="1"/>
  <c r="D244" i="1"/>
  <c r="E244" i="1"/>
  <c r="C987" i="1"/>
  <c r="E987" i="1"/>
  <c r="C994" i="1"/>
  <c r="D994" i="1"/>
  <c r="E994" i="1"/>
  <c r="C968" i="1"/>
  <c r="D968" i="1"/>
  <c r="E968" i="1"/>
  <c r="C1108" i="1"/>
  <c r="D1108" i="1"/>
  <c r="E1108" i="1"/>
  <c r="C1090" i="1"/>
  <c r="E1090" i="1"/>
  <c r="C1070" i="1"/>
  <c r="E1070" i="1"/>
  <c r="C1067" i="1"/>
  <c r="E1067" i="1"/>
  <c r="C1100" i="1"/>
  <c r="D1100" i="1"/>
  <c r="E1100" i="1"/>
  <c r="C1088" i="1"/>
  <c r="D1088" i="1"/>
  <c r="E1088" i="1"/>
  <c r="C1140" i="1"/>
  <c r="D1140" i="1"/>
  <c r="E1140" i="1"/>
  <c r="C1074" i="1"/>
  <c r="D1074" i="1"/>
  <c r="E1074" i="1"/>
  <c r="C149" i="1"/>
  <c r="E149" i="1"/>
  <c r="C691" i="1"/>
  <c r="D691" i="1"/>
  <c r="E691" i="1"/>
  <c r="C659" i="1"/>
  <c r="D659" i="1"/>
  <c r="E659" i="1"/>
  <c r="C681" i="1"/>
  <c r="D681" i="1"/>
  <c r="E681" i="1"/>
  <c r="C700" i="1"/>
  <c r="E700" i="1"/>
  <c r="C704" i="1"/>
  <c r="D704" i="1"/>
  <c r="E704" i="1"/>
  <c r="C208" i="1"/>
  <c r="D208" i="1"/>
  <c r="E208" i="1"/>
  <c r="C230" i="1"/>
  <c r="E230" i="1"/>
  <c r="C203" i="1"/>
  <c r="E203" i="1"/>
  <c r="C222" i="1"/>
  <c r="E222" i="1"/>
  <c r="C210" i="1"/>
  <c r="E210" i="1"/>
  <c r="C200" i="1"/>
  <c r="D200" i="1"/>
  <c r="E200" i="1"/>
  <c r="C890" i="1"/>
  <c r="E890" i="1"/>
  <c r="C929" i="1"/>
  <c r="D929" i="1"/>
  <c r="E929" i="1"/>
  <c r="C878" i="1"/>
  <c r="E878" i="1"/>
  <c r="C921" i="1"/>
  <c r="D921" i="1"/>
  <c r="E921" i="1"/>
  <c r="C918" i="1"/>
  <c r="E918" i="1"/>
  <c r="C351" i="1"/>
  <c r="D351" i="1"/>
  <c r="E351" i="1"/>
  <c r="C360" i="1"/>
  <c r="E360" i="1"/>
  <c r="C350" i="1"/>
  <c r="D350" i="1"/>
  <c r="E350" i="1"/>
  <c r="C333" i="1"/>
  <c r="E333" i="1"/>
  <c r="C740" i="1"/>
  <c r="D740" i="1"/>
  <c r="E740" i="1"/>
  <c r="C836" i="1"/>
  <c r="E836" i="1"/>
  <c r="C759" i="1"/>
  <c r="D759" i="1"/>
  <c r="E759" i="1"/>
  <c r="C754" i="1"/>
  <c r="E754" i="1"/>
  <c r="C829" i="1"/>
  <c r="E829" i="1"/>
  <c r="C788" i="1"/>
  <c r="D788" i="1"/>
  <c r="E788" i="1"/>
  <c r="C778" i="1"/>
  <c r="E778" i="1"/>
  <c r="C751" i="1"/>
  <c r="E751" i="1"/>
  <c r="C833" i="1"/>
  <c r="D833" i="1"/>
  <c r="E833" i="1"/>
  <c r="C822" i="1"/>
  <c r="D822" i="1"/>
  <c r="E822" i="1"/>
  <c r="C1031" i="1"/>
  <c r="E1031" i="1"/>
  <c r="C1037" i="1"/>
  <c r="D1037" i="1"/>
  <c r="E1037" i="1"/>
  <c r="C173" i="1"/>
  <c r="E173" i="1"/>
  <c r="C447" i="1"/>
  <c r="E447" i="1"/>
  <c r="C474" i="1"/>
  <c r="E474" i="1"/>
  <c r="C441" i="1"/>
  <c r="D441" i="1"/>
  <c r="E441" i="1"/>
  <c r="C473" i="1"/>
  <c r="D473" i="1"/>
  <c r="E473" i="1"/>
  <c r="C7" i="1"/>
  <c r="D7" i="1"/>
  <c r="E7" i="1"/>
  <c r="C1155" i="1"/>
  <c r="D1155" i="1"/>
  <c r="E1155" i="1"/>
  <c r="C1161" i="1"/>
  <c r="D1161" i="1"/>
  <c r="E1161" i="1"/>
  <c r="C1166" i="1"/>
  <c r="D1166" i="1"/>
  <c r="E1166" i="1"/>
  <c r="C1157" i="1"/>
  <c r="D1157" i="1"/>
  <c r="E1157" i="1"/>
  <c r="C292" i="1"/>
  <c r="D292" i="1"/>
  <c r="E292" i="1"/>
  <c r="C423" i="1"/>
  <c r="E423" i="1"/>
  <c r="C399" i="1"/>
  <c r="E399" i="1"/>
  <c r="C39" i="1"/>
  <c r="E39" i="1"/>
  <c r="C9" i="1"/>
  <c r="D9" i="1"/>
  <c r="E9" i="1"/>
  <c r="C1045" i="1"/>
  <c r="D1045" i="1"/>
  <c r="E1045" i="1"/>
  <c r="C24" i="1"/>
  <c r="D24" i="1"/>
  <c r="E24" i="1"/>
  <c r="C772" i="1"/>
  <c r="D772" i="1"/>
  <c r="E772" i="1"/>
  <c r="C129" i="1"/>
  <c r="D129" i="1"/>
  <c r="E129" i="1"/>
</calcChain>
</file>

<file path=xl/sharedStrings.xml><?xml version="1.0" encoding="utf-8"?>
<sst xmlns="http://schemas.openxmlformats.org/spreadsheetml/2006/main" count="3991" uniqueCount="1875">
  <si>
    <t>名称</t>
  </si>
  <si>
    <t>郵便番号</t>
  </si>
  <si>
    <t>住所</t>
  </si>
  <si>
    <t>電話番号</t>
  </si>
  <si>
    <t>病院薬局区分名称</t>
  </si>
  <si>
    <t>標榜診療科</t>
  </si>
  <si>
    <t>病院・診療所</t>
  </si>
  <si>
    <t xml:space="preserve">              </t>
  </si>
  <si>
    <t>内科、外科、消化器内科</t>
  </si>
  <si>
    <t>薬局</t>
  </si>
  <si>
    <t>歯科</t>
  </si>
  <si>
    <t>訪問看護ステーション</t>
  </si>
  <si>
    <t>石巻赤十字病院</t>
  </si>
  <si>
    <t>石巻市蛇田字西道下７１</t>
  </si>
  <si>
    <t>内科、精神科、小児科、外科、整形外科、形成外科、脳神経外科、呼吸器外科、心臓血管外科、小児外科、皮膚科、泌尿器科、産婦人科、眼科、耳鼻いんこう科、リハビリテーション科、歯科、歯科口腔外科、麻酔科、消化器内科、腫瘍内科、消化器外科、放射線診断科、病理診断科、循環器内科、呼吸器内科、乳腺外科、緩和医療科、放射線治療科、救急科</t>
  </si>
  <si>
    <t>医療法人有恒会　こだまホスピタル</t>
  </si>
  <si>
    <t>心療内科、精神科、老年内科</t>
  </si>
  <si>
    <t>医療法人社団佐藤整形外科医院</t>
  </si>
  <si>
    <t>リウマチ科、整形外科、リハビリテーション科</t>
  </si>
  <si>
    <t>医療法人宏人会石巻クリニック</t>
  </si>
  <si>
    <t>泌尿器科</t>
  </si>
  <si>
    <t>医療法人社団仁明会　齋藤病院</t>
  </si>
  <si>
    <t>内科、心臓血管外科、リハビリテーション科、消化器内科、循環器内科、呼吸器内科、脳神経内科</t>
  </si>
  <si>
    <t>医療法人社団石巻診療所</t>
  </si>
  <si>
    <t>内科、リウマチ科、整形外科、リハビリテーション科</t>
  </si>
  <si>
    <t>おおば小児クリニック</t>
  </si>
  <si>
    <t>アレルギー科、小児科</t>
  </si>
  <si>
    <t>ます皮膚科医院</t>
  </si>
  <si>
    <t>皮膚科</t>
  </si>
  <si>
    <t>高橋消化器内科</t>
  </si>
  <si>
    <t>石巻市千石町2番5号</t>
  </si>
  <si>
    <t>内科、消化器外科</t>
  </si>
  <si>
    <t>内科、胃腸科</t>
  </si>
  <si>
    <t>東海林内科胃腸科</t>
  </si>
  <si>
    <t>内科、消化器科</t>
  </si>
  <si>
    <t>医療法人健育会石巻健育会病院</t>
  </si>
  <si>
    <t>内科、神経内科、リハビリテーション科、循環器内科</t>
  </si>
  <si>
    <t>医療法人社団上石内科クリニック</t>
  </si>
  <si>
    <t>内科</t>
  </si>
  <si>
    <t>医療法人社団かづま内科クリニック</t>
  </si>
  <si>
    <t>内科、心療内科、精神科、胃腸科</t>
  </si>
  <si>
    <t>池田整形外科医院</t>
  </si>
  <si>
    <t>整形外科</t>
  </si>
  <si>
    <t>古山内科・循環器科</t>
  </si>
  <si>
    <t>内科、循環器内科、呼吸器内科</t>
  </si>
  <si>
    <t>宮城クリニック</t>
  </si>
  <si>
    <t>内科、精神科</t>
  </si>
  <si>
    <t>大街道もり眼科医院</t>
  </si>
  <si>
    <t>眼科</t>
  </si>
  <si>
    <t>医療法人社団伊藤内科クリニック</t>
  </si>
  <si>
    <t>内科、循環器科</t>
  </si>
  <si>
    <t>鈴木整形外科クリニック</t>
  </si>
  <si>
    <t>かわらだ内科・胃大腸クリニック</t>
  </si>
  <si>
    <t>佐久間眼科小児科医院</t>
  </si>
  <si>
    <t>小児科、眼科</t>
  </si>
  <si>
    <t>こばやし医院</t>
  </si>
  <si>
    <t>内科、呼吸器内科</t>
  </si>
  <si>
    <t>佐藤内科医院</t>
  </si>
  <si>
    <t>内科、胃腸科、循環器科、小児科</t>
  </si>
  <si>
    <t>やまもと産婦人科</t>
  </si>
  <si>
    <t>産婦人科</t>
  </si>
  <si>
    <t>内科、小児科</t>
  </si>
  <si>
    <t>内科、外科</t>
  </si>
  <si>
    <t>櫻井内科クリニック</t>
  </si>
  <si>
    <t>佐々木医院</t>
  </si>
  <si>
    <t>医療法人社団千裕会　紫桃内科医院</t>
  </si>
  <si>
    <t>石巻市鹿又字伊勢前５３ー２</t>
  </si>
  <si>
    <t>医療法人　簡野医院</t>
  </si>
  <si>
    <t>医療法人社団信和会　ものうファミリークリニック</t>
  </si>
  <si>
    <t>石巻市桃生町中津山字八木１６７番地の４</t>
  </si>
  <si>
    <t>ものう眼科クリニック</t>
  </si>
  <si>
    <t>網小医院</t>
  </si>
  <si>
    <t>石巻市長渡浜杉　１３ー３</t>
  </si>
  <si>
    <t>内科、外科、整形外科、脳神経外科、泌尿器科</t>
  </si>
  <si>
    <t>石巻市立牡鹿病院</t>
  </si>
  <si>
    <t>石巻市鮎川浜清崎山　７</t>
  </si>
  <si>
    <t>内科、外科、歯科</t>
  </si>
  <si>
    <t>石巻市広渕字焼巻２</t>
  </si>
  <si>
    <t>医療法人社団遥純会　あいかわ小児クリニック</t>
  </si>
  <si>
    <t>小児科</t>
  </si>
  <si>
    <t>亀田内科皮膚科クリニック</t>
  </si>
  <si>
    <t>内科、胃腸科、アレルギー科、外科、皮膚科</t>
  </si>
  <si>
    <t>医療法人清芳会中浦内科医院</t>
  </si>
  <si>
    <t>医療法人社団箕田内科クリニック</t>
  </si>
  <si>
    <t>内科、循環器内科</t>
  </si>
  <si>
    <t>医療法人啓仁会石巻ロイヤル病院</t>
  </si>
  <si>
    <t>内科、神経内科、リウマチ科、外科、整形外科、婦人科、リハビリテーション科、消化器内科、循環器内科</t>
  </si>
  <si>
    <t>いしのまき矢吹クリニック</t>
  </si>
  <si>
    <t>なかがわ眼科</t>
  </si>
  <si>
    <t>医療法人海邦会鹿島記念病院</t>
  </si>
  <si>
    <t>石巻市広渕字長山１００番地</t>
  </si>
  <si>
    <t>心療内科、精神科</t>
  </si>
  <si>
    <t>石巻市大橋三丁目２番７</t>
  </si>
  <si>
    <t>内科、心療内科、消化器科</t>
  </si>
  <si>
    <t>診療所　在宅医療</t>
  </si>
  <si>
    <t>石巻市大街道北三丁目６番７２号</t>
  </si>
  <si>
    <t>栗原医院</t>
  </si>
  <si>
    <t>内科、外科、整形外科</t>
  </si>
  <si>
    <t>いとう心療クリニック</t>
  </si>
  <si>
    <t>あらい脳神経外科クリニック</t>
  </si>
  <si>
    <t>脳神経外科</t>
  </si>
  <si>
    <t>祐ホームクリニック石巻</t>
  </si>
  <si>
    <t>熊井皮膚科医院</t>
  </si>
  <si>
    <t>まだらめ内科医院</t>
  </si>
  <si>
    <t>内科、神経内科</t>
  </si>
  <si>
    <t>医療法人桐葉会　よしろう内科</t>
  </si>
  <si>
    <t>石巻市住吉町一丁目８番４６号</t>
  </si>
  <si>
    <t>石巻市立病院</t>
  </si>
  <si>
    <t>石巻市穀町15番1号</t>
  </si>
  <si>
    <t>内科、外科、整形外科、皮膚科、眼科、耳鼻いんこう科、リハビリテーション科、麻酔科、消化器内科、放射線診断科、循環器内科、緩和ケア内科</t>
  </si>
  <si>
    <t>土井眼科クリニック</t>
  </si>
  <si>
    <t>森消化器内科外科</t>
  </si>
  <si>
    <t>医療法人清仁会　石巻内科透析クリニック</t>
  </si>
  <si>
    <t>石巻市須江字舘山根１０５</t>
  </si>
  <si>
    <t>加美郡加美町字大門２０</t>
  </si>
  <si>
    <t>内科、腎臓内科、人工透析</t>
  </si>
  <si>
    <t>蛇田さくら内科クリニック</t>
  </si>
  <si>
    <t>須江きむら医院</t>
  </si>
  <si>
    <t>内科、消化器内科、循環器内科</t>
  </si>
  <si>
    <t>あゆみ野クリニック</t>
  </si>
  <si>
    <t>内科、漢方内科</t>
  </si>
  <si>
    <t>いしのまき山本クリニック</t>
  </si>
  <si>
    <t>内科、消化器内科</t>
  </si>
  <si>
    <t>塩竈市立病院</t>
  </si>
  <si>
    <t>塩竈市香津町７ー１</t>
  </si>
  <si>
    <t>内科、神経内科、呼吸器科、消化器科、循環器科、小児科、外科、整形外科、皮膚科、泌尿器科、婦人科、眼科、耳鼻いんこう科、リハビリテーション科、麻酔科</t>
  </si>
  <si>
    <t>公益財団法人宮城厚生協会坂総合病院</t>
  </si>
  <si>
    <t>塩釜市錦町　１６ー５</t>
  </si>
  <si>
    <t>内科、精神科、神経内科、消化器科、循環器科、小児科、外科、整形外科、形成外科、脳神経外科、呼吸器外科、心臓血管外科、皮膚科、泌尿器科、産婦人科、眼科、耳鼻いんこう科、リハビリテーション科、放射線科、麻酔科、肝臓内科、漢方内科、病理診断科、循環器内科、呼吸器内科、肛門外科、糖尿病・代謝内科、緩和ケア内科、胸部外科、救急科、血管外科</t>
  </si>
  <si>
    <t>安達医院</t>
  </si>
  <si>
    <t>塩竈市尾島町　１４ー１ー１０２</t>
  </si>
  <si>
    <t>医療法人菅野愛生会緑ケ丘病院</t>
  </si>
  <si>
    <t>内科、心療内科、精神科</t>
  </si>
  <si>
    <t>鳥越塩釜腎クリニック</t>
  </si>
  <si>
    <t>塩竈市錦町　５ー１３</t>
  </si>
  <si>
    <t>リウマチ科、整形外科、透析内科</t>
  </si>
  <si>
    <t>菅原内科胃腸科医院</t>
  </si>
  <si>
    <t>内科、呼吸器科、消化器科、循環器科</t>
  </si>
  <si>
    <t>医療法人社団鈴木眼科医院</t>
  </si>
  <si>
    <t>坂総合病院附属北部診療所</t>
  </si>
  <si>
    <t>及川内科医院</t>
  </si>
  <si>
    <t>塩竈市尾島町　５ー１６</t>
  </si>
  <si>
    <t>内科、呼吸器科、消化器科</t>
  </si>
  <si>
    <t>高橋ジェネラルクリニック</t>
  </si>
  <si>
    <t>塩竈市藤倉　３ー６ー４</t>
  </si>
  <si>
    <t>内科、外科、リハビリテーション科、肛門外科、ペインクリニック</t>
  </si>
  <si>
    <t>いけの医院</t>
  </si>
  <si>
    <t>塩竈市藤倉　３ー１７ー５</t>
  </si>
  <si>
    <t>小児科、形成外科、皮膚科、婦人科、漢方内科</t>
  </si>
  <si>
    <t>杉山内科</t>
  </si>
  <si>
    <t>内科、胃腸科、小児科</t>
  </si>
  <si>
    <t>渡辺眼科医院</t>
  </si>
  <si>
    <t>塩竈市尾島町　６ー３</t>
  </si>
  <si>
    <t>医療法人社団中正会　本間医院</t>
  </si>
  <si>
    <t>塩竈市本町３ー２０</t>
  </si>
  <si>
    <t>内科、アレルギー科、小児科、消化器内科、循環器内科、呼吸器内科</t>
  </si>
  <si>
    <t>川合整形外科クリニック</t>
  </si>
  <si>
    <t>塩竈市藤倉　２ー４ー２０</t>
  </si>
  <si>
    <t>赤石病院</t>
  </si>
  <si>
    <t>内科、外科、整形外科、形成外科、脳神経外科、小児外科、リハビリテーション科</t>
  </si>
  <si>
    <t>医療法人社団藤谷内科クリニック</t>
  </si>
  <si>
    <t>塩竈市南錦町　８ー１０</t>
  </si>
  <si>
    <t>宮町脳神経・眼科クリニック</t>
  </si>
  <si>
    <t>塩竈市宮町８ー１５</t>
  </si>
  <si>
    <t>内科、神経内科、眼科</t>
  </si>
  <si>
    <t>医療法人社団　無量井内科クリニツク</t>
  </si>
  <si>
    <t>塩竈市東玉川町　２ー２８</t>
  </si>
  <si>
    <t>内科、アレルギー科、リウマチ科</t>
  </si>
  <si>
    <t>ももせクリニック</t>
  </si>
  <si>
    <t>内科、外科、整形外科、こう門科、リハビリテーション科、麻酔科</t>
  </si>
  <si>
    <t>ちば整形外科クリニック</t>
  </si>
  <si>
    <t>ささき内科・呼吸器科クリニック</t>
  </si>
  <si>
    <t>内科、呼吸器科</t>
  </si>
  <si>
    <t>永沼外科整形外科医院</t>
  </si>
  <si>
    <t>塩竈市宮町４番１９号</t>
  </si>
  <si>
    <t>外科、整形外科、リハビリテーション科</t>
  </si>
  <si>
    <t>くろさわ脳外科</t>
  </si>
  <si>
    <t>やまとクリニック</t>
  </si>
  <si>
    <t>塩竈市字伊保石２１番地１</t>
  </si>
  <si>
    <t>内科、小児科、緩和ケア、腫瘍内科、栄養科</t>
  </si>
  <si>
    <t>本塩釜耳鼻咽喉科ｸﾘﾆｯｸ</t>
  </si>
  <si>
    <t>塩竈市北浜１丁目７番７号</t>
  </si>
  <si>
    <t>耳鼻いんこう科</t>
  </si>
  <si>
    <t>医療法人社団永健会　冨永内科医院</t>
  </si>
  <si>
    <t>消化器内科、循環器内科、呼吸器内科</t>
  </si>
  <si>
    <t>みみはなのど宮崎クリニック</t>
  </si>
  <si>
    <t>塩竈市花立町１３番１２号</t>
  </si>
  <si>
    <t>医療法人移川哲仁会　三峰病院</t>
  </si>
  <si>
    <t>内科、精神神経科</t>
  </si>
  <si>
    <t>武田眼科医院</t>
  </si>
  <si>
    <t>医療法人華月会村岡外科クリニック</t>
  </si>
  <si>
    <t>消化器科、外科</t>
  </si>
  <si>
    <t>医療法人あさひ会おだか医院</t>
  </si>
  <si>
    <t>気仙沼市田中前　４ー１０ー２</t>
  </si>
  <si>
    <t>外科、皮膚科、胃腸内科</t>
  </si>
  <si>
    <t>小林直樹眼科</t>
  </si>
  <si>
    <t>気仙沼市立病院</t>
  </si>
  <si>
    <t>小野医院</t>
  </si>
  <si>
    <t>気仙沼市唐桑町宿浦　４０５ー８</t>
  </si>
  <si>
    <t>内科、小児科、循環器内科</t>
  </si>
  <si>
    <t>条南整形外科</t>
  </si>
  <si>
    <t>気仙沼市田中前二丁目１番地１０</t>
  </si>
  <si>
    <t>医療法人進整会　志田整形外科医院</t>
  </si>
  <si>
    <t>気仙沼市東新城２丁目６番４</t>
  </si>
  <si>
    <t>整形外科、リハビリテーション科</t>
  </si>
  <si>
    <t>医療法人千圃　鈴木医院</t>
  </si>
  <si>
    <t>内科、腎臓内科</t>
  </si>
  <si>
    <t>内科、心療内科、小児科、外科、整形外科、脳神経外科、皮膚科、泌尿器科、産婦人科、眼科、耳鼻いんこう科、リハビリテーション科、放射線科、歯科口腔外科、麻酔科、消化器内科、循環器内科、呼吸器内科</t>
  </si>
  <si>
    <t>こまつ内科医院</t>
  </si>
  <si>
    <t>医療法人敬仁会　大友医院</t>
  </si>
  <si>
    <t>内科、リハビリテーション科、脳神経内科</t>
  </si>
  <si>
    <t>気仙沼市立病院附属本吉医院</t>
  </si>
  <si>
    <t>気仙沼市本吉町津谷明戸２２２番地２</t>
  </si>
  <si>
    <t>内科、精神科、小児科、外科、整形外科</t>
  </si>
  <si>
    <t>名取透析クリニック</t>
  </si>
  <si>
    <t>内科、泌尿器科</t>
  </si>
  <si>
    <t>きぼうの杜診療所</t>
  </si>
  <si>
    <t>黒川郡大和町吉田字新要害10番地</t>
  </si>
  <si>
    <t>公立刈田綜合病院</t>
  </si>
  <si>
    <t>水野内科クリニック</t>
  </si>
  <si>
    <t>浅野眼科医院</t>
  </si>
  <si>
    <t>白石市字柳町６１番地</t>
  </si>
  <si>
    <t>医療法人社団　橋本整形外科医院</t>
  </si>
  <si>
    <t>おおぬまクリニック</t>
  </si>
  <si>
    <t>白石市延命寺北　１ー６</t>
  </si>
  <si>
    <t>仙南サナトリウム＋</t>
  </si>
  <si>
    <t>白石市大鷹沢三沢字中山　７４ー１０</t>
  </si>
  <si>
    <t>心療内科、精神科、神経内科</t>
  </si>
  <si>
    <t>えんどうクリニック</t>
  </si>
  <si>
    <t>内科、循環器科、外科</t>
  </si>
  <si>
    <t>大手町おおはし眼科</t>
  </si>
  <si>
    <t>大泉記念病院</t>
  </si>
  <si>
    <t>内科、神経内科、呼吸器科、胃腸科、循環器科、外科、整形外科、脳神経外科、心臓血管外科、婦人科</t>
  </si>
  <si>
    <t>つつみ内科外科こどもクリニック</t>
  </si>
  <si>
    <t>白石市字清水小路６番地</t>
  </si>
  <si>
    <t>内科、小児科、外科</t>
  </si>
  <si>
    <t>加藤小児科内科医院</t>
  </si>
  <si>
    <t>白石市大手町３番１３号</t>
  </si>
  <si>
    <t>かんのリズムハートクリニック</t>
  </si>
  <si>
    <t>柿崎小児科</t>
  </si>
  <si>
    <t>引地クリニック</t>
  </si>
  <si>
    <t>内科、皮膚科、泌尿器科、脳神経内科</t>
  </si>
  <si>
    <t>白石市福岡蔵本字下原沖３６番地</t>
  </si>
  <si>
    <t>神経内科、小児科、整形外科、皮膚科、泌尿器科、産婦人科、眼科、耳鼻いんこう科、リハビリテーション科、消化器内科、総合内科、循環器内科、総合外科</t>
  </si>
  <si>
    <t>医療法人社団やまと　やまと在宅診療所白石</t>
  </si>
  <si>
    <t>白石市旭町１丁目９番２７号カーサ・セロＤ棟</t>
  </si>
  <si>
    <t>名取市手倉田字山無番地</t>
  </si>
  <si>
    <t>丹野小児科医院</t>
  </si>
  <si>
    <t>名取熊野堂病院</t>
  </si>
  <si>
    <t>名取市増田字柳田８</t>
  </si>
  <si>
    <t>毛利内科</t>
  </si>
  <si>
    <t>内科、神経内科、呼吸器科、消化器科、循環器科</t>
  </si>
  <si>
    <t>医療法人社団公成会　わく沢眼科医院</t>
  </si>
  <si>
    <t>さとうクリニック</t>
  </si>
  <si>
    <t>名取市手倉田諏訪５６５ー１</t>
  </si>
  <si>
    <t>内科、皮膚科、泌尿器科</t>
  </si>
  <si>
    <t>金沢内科胃腸科</t>
  </si>
  <si>
    <t>名取市小山　２ー３ー３２</t>
  </si>
  <si>
    <t>医療法人武田内科医院</t>
  </si>
  <si>
    <t>医療法人社団洞口会名取中央クリニック</t>
  </si>
  <si>
    <t>内科、整形外科、リハビリテーション科、歯科、消化器内科、循環器内科、呼吸器内科、消化器内視鏡内科</t>
  </si>
  <si>
    <t>医療法人社団　浜田Ａ＆Ｂクリニック</t>
  </si>
  <si>
    <t>名取市手倉田字堰根３７７ー１</t>
  </si>
  <si>
    <t>内科、循環器科、外科、整形外科、リハビリテーション科</t>
  </si>
  <si>
    <t>桑島内科消化器科クリニック</t>
  </si>
  <si>
    <t>内科、消化器科、胃腸科</t>
  </si>
  <si>
    <t>あべ脳神経クリニツク</t>
  </si>
  <si>
    <t>名取市上余田字市の坪　２７０</t>
  </si>
  <si>
    <t>内科、神経内科、外科、脳神経外科、リハビリテーション科</t>
  </si>
  <si>
    <t>松永眼科</t>
  </si>
  <si>
    <t>名取市小山　２ー３ー２６</t>
  </si>
  <si>
    <t>館腰クリニック</t>
  </si>
  <si>
    <t>内科、胃腸科、小児科、外科</t>
  </si>
  <si>
    <t>ひまわり内科消化器科クリニック</t>
  </si>
  <si>
    <t>内科、消化器内科、糖尿病内科</t>
  </si>
  <si>
    <t>たんのクリニック</t>
  </si>
  <si>
    <t>名取市手倉田字諏訪５９９番地の１</t>
  </si>
  <si>
    <t>鈴木ゆうクリニック</t>
  </si>
  <si>
    <t>野田眼科クリニック</t>
  </si>
  <si>
    <t>みどり台小児科外科内科</t>
  </si>
  <si>
    <t>あいのもりクリニック</t>
  </si>
  <si>
    <t>内科、消化器科、小児科、外科</t>
  </si>
  <si>
    <t>宮城県立精神医療センター</t>
  </si>
  <si>
    <t>精神科、歯科、児童精神科</t>
  </si>
  <si>
    <t>宮城県立がんセンター</t>
  </si>
  <si>
    <t>整形外科、形成外科、脳神経外科、呼吸器外科、泌尿器科、婦人科、眼科、歯科、麻酔科、消化器内科、緩和ケア、血液内科、頭頸部外科、腫瘍内科、消化器外科、放射線診断科、病理診断科、呼吸器内科、腫瘍循環器科、糖尿病代謝科、精神腫瘍科、乳腺外科、頭頸部内科、放射線治療科、臨床検査科</t>
  </si>
  <si>
    <t>ゆりあげクリニック</t>
  </si>
  <si>
    <t>名取市美田園７丁目１７番地の３</t>
  </si>
  <si>
    <t>医療法人イルソーレ　時計台クリニック</t>
  </si>
  <si>
    <t>名取市杜せきのした2丁目6番7号</t>
  </si>
  <si>
    <t>アレルギー科、小児科、循環器内科、呼吸器内科</t>
  </si>
  <si>
    <t>宮城県リハビリテーション支援センター附属診療所</t>
  </si>
  <si>
    <t>名取市美田園二丁目１番地の４</t>
  </si>
  <si>
    <t>整形外科、脳神経外科、リハビリテーション科</t>
  </si>
  <si>
    <t>こせき皮膚科クリニック</t>
  </si>
  <si>
    <t>森内科クリニック</t>
  </si>
  <si>
    <t>名取たにぐちクリニック</t>
  </si>
  <si>
    <t>せきのした皮フ科</t>
  </si>
  <si>
    <t>アレルギー科、皮膚科、小児皮膚科</t>
  </si>
  <si>
    <t>名取市美田園６丁目２番６</t>
  </si>
  <si>
    <t>内科、人工透析内科</t>
  </si>
  <si>
    <t>せきのした総合ｸﾘﾆｯｸ</t>
  </si>
  <si>
    <t>名取市杜せきのした一丁目8番地の23</t>
  </si>
  <si>
    <t>内科、消化器科、外科、皮膚科</t>
  </si>
  <si>
    <t>めでしまのさと内科クリニック</t>
  </si>
  <si>
    <t>すずむら眼科</t>
  </si>
  <si>
    <t>内科、呼吸器科、循環器科</t>
  </si>
  <si>
    <t>医療法人社団さくら慈愛会　名取さくらみらい眼科</t>
  </si>
  <si>
    <t>りんくう透析クリニック</t>
  </si>
  <si>
    <t>名取市本郷字焼野１３６</t>
  </si>
  <si>
    <t>人工透析内科</t>
  </si>
  <si>
    <t>仙台空港北クリニック</t>
  </si>
  <si>
    <t>名取市美田園８丁目１番８号</t>
  </si>
  <si>
    <t>内科、アレルギー科、感染症・呼吸器内科</t>
  </si>
  <si>
    <t>名取つちやま皮ふ科</t>
  </si>
  <si>
    <t>名取市田高字原５９７名取メディカルモール２０１</t>
  </si>
  <si>
    <t>かくだ西川耳鼻咽喉科クリニック</t>
  </si>
  <si>
    <t>名取市高舘吉田字前沖２１１番地４</t>
  </si>
  <si>
    <t>アレルギー科、耳鼻いんこう科、小児耳鼻咽喉科</t>
  </si>
  <si>
    <t>こばやし整形外科クリニック</t>
  </si>
  <si>
    <t>やまと在宅診療所名取</t>
  </si>
  <si>
    <t>内科、外科、緩和ケア内科</t>
  </si>
  <si>
    <t>名取市田高字原５９７名取メディカルモール１０２</t>
  </si>
  <si>
    <t>名取市杜せきのした二丁目５番地の７</t>
  </si>
  <si>
    <t>なとり内科・内視鏡クリニック</t>
  </si>
  <si>
    <t>名取市田高字原５９７名取メディカルモール２０２</t>
  </si>
  <si>
    <t>内科、消化器内科、内視鏡内科</t>
  </si>
  <si>
    <t>医療法人もくせい会　守健診内科</t>
  </si>
  <si>
    <t>名取市田高字原５９７</t>
  </si>
  <si>
    <t>登米市迫町佐沼字南元丁７２</t>
  </si>
  <si>
    <t>医療法人本多友愛会仙南病院</t>
  </si>
  <si>
    <t>角田市角田字牛舘　１６</t>
  </si>
  <si>
    <t>医療法人金上仁友会金上病院</t>
  </si>
  <si>
    <t>角田市角田字田町　１２３</t>
  </si>
  <si>
    <t>内科、外科、整形外科、皮膚科、リハビリテーション科</t>
  </si>
  <si>
    <t>医療法人安達同済会同済病院</t>
  </si>
  <si>
    <t>角田市佐倉字上土浮　２</t>
  </si>
  <si>
    <t>内科、小児科、外科、婦人科</t>
  </si>
  <si>
    <t>角田市角田字町１９２</t>
  </si>
  <si>
    <t>油井眼科医院</t>
  </si>
  <si>
    <t>角田市角田字牛舘　５８</t>
  </si>
  <si>
    <t>高山内科胃腸科医院</t>
  </si>
  <si>
    <t>角田市角田字町　２４３</t>
  </si>
  <si>
    <t>医療法人社団阿部内科医院</t>
  </si>
  <si>
    <t>角田市角田字牛舘　８９ー３</t>
  </si>
  <si>
    <t>呼吸器科、胃腸科、循環器科、一般内科</t>
  </si>
  <si>
    <t>ウィメンズクリニック金上</t>
  </si>
  <si>
    <t>角田市角田字田町　１１４ー１２</t>
  </si>
  <si>
    <t>内科、麻酔科</t>
  </si>
  <si>
    <t>医療法人名取会　名取医院</t>
  </si>
  <si>
    <t>内科、神経内科、皮膚科</t>
  </si>
  <si>
    <t>角田ふれあいクリニック</t>
  </si>
  <si>
    <t>内科、外科、消化器内科、肛門外科</t>
  </si>
  <si>
    <t>まつもと整形外科リハビリテーションクリニック</t>
  </si>
  <si>
    <t>医療法人寶樹会仙塩総合病院</t>
  </si>
  <si>
    <t>多賀城市桜木　２ー１ー１</t>
  </si>
  <si>
    <t>内科、整形外科、形成外科、リハビリテーション科</t>
  </si>
  <si>
    <t>多賀城眼科</t>
  </si>
  <si>
    <t>今井医院</t>
  </si>
  <si>
    <t>多賀城市八幡　２ー１２ー７０</t>
  </si>
  <si>
    <t>石井小児科</t>
  </si>
  <si>
    <t>多賀城市高崎　３ー２７ー２７</t>
  </si>
  <si>
    <t>山田憲一内科医院</t>
  </si>
  <si>
    <t>多賀城市山王字中山王１３ー１</t>
  </si>
  <si>
    <t>さとう整形外科クリニック</t>
  </si>
  <si>
    <t>整形外科、理学診療科</t>
  </si>
  <si>
    <t>大井耳鼻咽喉科</t>
  </si>
  <si>
    <t>大井皮フ科泌尿器科</t>
  </si>
  <si>
    <t>多賀城市八幡４ー３ー８</t>
  </si>
  <si>
    <t>皮膚科、泌尿器科</t>
  </si>
  <si>
    <t>藤野整形外科</t>
  </si>
  <si>
    <t>多賀城市大代　５ー１ー１</t>
  </si>
  <si>
    <t>公益財団法人宮城厚生協会坂総合クリニック</t>
  </si>
  <si>
    <t>内科、精神科、神経内科、消化器科、小児科、外科、整形外科、形成外科、脳神経外科、呼吸器外科、心臓血管外科、皮膚科、泌尿器科、産婦人科、眼科、耳鼻いんこう科、消化器内科、肝臓内科、血液内科、腫瘍内科、漢方内科、循環器内科、呼吸器内科、肛門外科、腎臓内科、糖尿病・代謝内科</t>
  </si>
  <si>
    <t>医療法人沼崎クリニック</t>
  </si>
  <si>
    <t>多賀城市大代５ー２ー５</t>
  </si>
  <si>
    <t>医療法人卓敬会まえひらクリニック</t>
  </si>
  <si>
    <t>内科、呼吸器科、アレルギー科</t>
  </si>
  <si>
    <t>よねち内科クリニック</t>
  </si>
  <si>
    <t>内科、消化器内科、循環器内科、呼吸器内科</t>
  </si>
  <si>
    <t>笠神ハートクリニック</t>
  </si>
  <si>
    <t>循環器科</t>
  </si>
  <si>
    <t>おだかクリニック</t>
  </si>
  <si>
    <t>おおば医院</t>
  </si>
  <si>
    <t>医療法人菅野愛生会　こころのクリニック　みどりの風</t>
  </si>
  <si>
    <t>多賀城腎・泌尿器クリニック</t>
  </si>
  <si>
    <t>じょうなんファミリークリニック</t>
  </si>
  <si>
    <t>内科、小児科、外科、消化器内科</t>
  </si>
  <si>
    <t>さざんか往診クリニック</t>
  </si>
  <si>
    <t>呼吸器科、消化器科、循環器科</t>
  </si>
  <si>
    <t>おおなみ眼科クリニック</t>
  </si>
  <si>
    <t>多賀城市高橋五丁目3番5号</t>
  </si>
  <si>
    <t>医療法人兀兀堂　コツコツクリニック多賀城整形外科</t>
  </si>
  <si>
    <t>よしづみ内科・糖尿病クリニック</t>
  </si>
  <si>
    <t>おおしろファミリークリニック</t>
  </si>
  <si>
    <t>内科、小児科、皮膚科</t>
  </si>
  <si>
    <t>多賀城あかざクリニック</t>
  </si>
  <si>
    <t>内科、外科、皮膚科、泌尿器科</t>
  </si>
  <si>
    <t>多賀城えきまえ皮膚科</t>
  </si>
  <si>
    <t>形成外科、皮膚科</t>
  </si>
  <si>
    <t>多賀城みやばやしキッズクリニック</t>
  </si>
  <si>
    <t>多賀城市城南１丁目１１番４５号</t>
  </si>
  <si>
    <t>しおがま国分眼科</t>
  </si>
  <si>
    <t>多賀城市笠神４丁目６番８号</t>
  </si>
  <si>
    <t>総合南東北病院</t>
  </si>
  <si>
    <t>内科、アレルギー科、小児科、外科、整形外科、形成外科、脳神経外科、呼吸器外科、泌尿器科、リハビリテーション科、放射線科、麻酔科、消化器内科、循環器内科、呼吸器内科、脳神経内科、救急科、老年内科</t>
  </si>
  <si>
    <t>医療法人松涛会南浜中央病院</t>
  </si>
  <si>
    <t>岩沼市寺島字北新田　１１１</t>
  </si>
  <si>
    <t>内科、精神科、歯科</t>
  </si>
  <si>
    <t>緑の里クリニック</t>
  </si>
  <si>
    <t>内科、小児科、脳神経外科、胃腸内科、循環器内科、腎臓内科、人工透析内科</t>
  </si>
  <si>
    <t>丹野医院</t>
  </si>
  <si>
    <t>岩沼市桑原　１ー８ー１３</t>
  </si>
  <si>
    <t>アレルギー科、耳鼻いんこう科、呼吸器内科</t>
  </si>
  <si>
    <t>森川こどもクリニック</t>
  </si>
  <si>
    <t>内科、アレルギー科、小児科</t>
  </si>
  <si>
    <t>医療法人武隈会　さとう純整形外科クリニック</t>
  </si>
  <si>
    <t>医療法人社団武優会　森整形外科クリニック</t>
  </si>
  <si>
    <t>西陵内科</t>
  </si>
  <si>
    <t>おなかのクリニック</t>
  </si>
  <si>
    <t>安田内科医院</t>
  </si>
  <si>
    <t>本郷医院</t>
  </si>
  <si>
    <t>岩沼市中央３丁目４番１６号</t>
  </si>
  <si>
    <t>内科、外科、心臓血管外科、循環器内科</t>
  </si>
  <si>
    <t>石垣記念　岩沼中央整形外科</t>
  </si>
  <si>
    <t>岩沼市中央三丁目４番２７号</t>
  </si>
  <si>
    <t>脳外科内科すずきクリニック</t>
  </si>
  <si>
    <t>岩沼市桑原四丁目１１番１８号</t>
  </si>
  <si>
    <t>内科、神経内科、脳神経外科</t>
  </si>
  <si>
    <t>南浜中央病院附属　みなみはまクリニック</t>
  </si>
  <si>
    <t>てんかん病院ベーテル</t>
  </si>
  <si>
    <t>岩沼市北長谷字畑向山南２７番地４</t>
  </si>
  <si>
    <t>精神科、神経内科、小児科</t>
  </si>
  <si>
    <t>なくい外科内科胃腸内科クリニック</t>
  </si>
  <si>
    <t>なかやま整形外科クリニック</t>
  </si>
  <si>
    <t>岩沼市押分字間畑１０番地１</t>
  </si>
  <si>
    <t>あかま皮膚科クリニック</t>
  </si>
  <si>
    <t>内科、外科、胃腸内科、消化器内科、内視鏡内科</t>
  </si>
  <si>
    <t>岩沼市桜２丁目４番１号</t>
  </si>
  <si>
    <t>こばやしクリニック</t>
  </si>
  <si>
    <t>内科、アレルギー科、小児科、呼吸器内科</t>
  </si>
  <si>
    <t>岩沼市土ケ崎３丁目８番地８</t>
  </si>
  <si>
    <t>内科、整形外科、形成外科、循環器内科、糖尿病代謝内科</t>
  </si>
  <si>
    <t>あおば内科胃腸科・内視鏡クリニック</t>
  </si>
  <si>
    <t>一般内科、消化器内科、呼吸器内科、内視鏡内科</t>
  </si>
  <si>
    <t>森整形外科医院</t>
  </si>
  <si>
    <t>医療法人社団頌和会佐藤内科医院</t>
  </si>
  <si>
    <t>医療法人社団遊佐内科胃腸科医院</t>
  </si>
  <si>
    <t>医療法人社団千葉医院</t>
  </si>
  <si>
    <t>医療法人社団　田中医院</t>
  </si>
  <si>
    <t>登米市迫町佐沼字小金丁　５３ー２</t>
  </si>
  <si>
    <t>内科、脳神経外科</t>
  </si>
  <si>
    <t>上杉皮膚科医院</t>
  </si>
  <si>
    <t>内科、放射線科</t>
  </si>
  <si>
    <t>わたなべ内科クリニック</t>
  </si>
  <si>
    <t>内科、神経内科、リハビリテーション科</t>
  </si>
  <si>
    <t>ごとう眼科</t>
  </si>
  <si>
    <t>みうら眼科医院</t>
  </si>
  <si>
    <t>医療法人社団豊衛会佐藤医院</t>
  </si>
  <si>
    <t>登米市豊里町横町６０</t>
  </si>
  <si>
    <t>石越病院</t>
  </si>
  <si>
    <t>登米市石越町南郷字小谷地前　２４５</t>
  </si>
  <si>
    <t>精神科、神経科</t>
  </si>
  <si>
    <t>おおともクリニック</t>
  </si>
  <si>
    <t>登米市津山町柳津字幣崎４２２</t>
  </si>
  <si>
    <t>登米市立登米市民病院</t>
  </si>
  <si>
    <t>登米市迫町佐沼字下田中２５</t>
  </si>
  <si>
    <t>内科、小児科、外科、整形外科、脳神経外科、皮膚科、泌尿器科、産婦人科、眼科、耳鼻いんこう科、リハビリテーション科、放射線科、麻酔科、人工透析内科、乳腺外科、血管外科</t>
  </si>
  <si>
    <t>登米市立豊里病院</t>
  </si>
  <si>
    <t>内科、小児科、外科、整形外科、皮膚科、眼科、歯科、麻酔科</t>
  </si>
  <si>
    <t>登米市立米谷病院</t>
  </si>
  <si>
    <t>登米市東和町米谷字元町　２００</t>
  </si>
  <si>
    <t>内科、小児科、整形外科、耳鼻いんこう科</t>
  </si>
  <si>
    <t>登米市立上沼診療所</t>
  </si>
  <si>
    <t>医療法人健心会　おおたおおたにクリニック</t>
  </si>
  <si>
    <t>医療法人社団佐幸医院</t>
  </si>
  <si>
    <t>登米市迫町佐沼字錦１０</t>
  </si>
  <si>
    <t>医療法人社団緑水会米川診療所</t>
  </si>
  <si>
    <t>医療法人社団　やすらぎの里</t>
  </si>
  <si>
    <t>ささはら総合診療科</t>
  </si>
  <si>
    <t>内科、外科、麻酔科、消化器内科</t>
  </si>
  <si>
    <t>佐藤裕也眼科　登米分院</t>
  </si>
  <si>
    <t>登米市中田町石森字西細谷４１１番地</t>
  </si>
  <si>
    <t>小出医院</t>
  </si>
  <si>
    <t>登米市登米町日野渡内ノ目329番地1</t>
  </si>
  <si>
    <t>しのはらクリニック</t>
  </si>
  <si>
    <t>二瓶内科胃腸科医院</t>
  </si>
  <si>
    <t>内科、胃腸内科、消化器内科</t>
  </si>
  <si>
    <t>やまと在宅診療所登米</t>
  </si>
  <si>
    <t>内科、外科、皮膚科</t>
  </si>
  <si>
    <t>とめ眼科クリニック</t>
  </si>
  <si>
    <t>まほろばレディースクリニック</t>
  </si>
  <si>
    <t>内科、産婦人科、婦人科</t>
  </si>
  <si>
    <t>達内科</t>
  </si>
  <si>
    <t>伊礼整形外科</t>
  </si>
  <si>
    <t>医療法人社団静信会日野外科内科</t>
  </si>
  <si>
    <t>きくた内科クリニック</t>
  </si>
  <si>
    <t>内科、神経内科、呼吸器科、消化器科、循環器科、糖尿病</t>
  </si>
  <si>
    <t>医療法人財団弘慈会石橋病院</t>
  </si>
  <si>
    <t>栗原市若柳字川北堤下　２７</t>
  </si>
  <si>
    <t>内科、心療内科、精神科、消化器科、循環器科、リウマチ科、整形外科、リハビリテーション科、老年精神科</t>
  </si>
  <si>
    <t>若柳消化器内科</t>
  </si>
  <si>
    <t>栗原市若柳字川北古川　１４</t>
  </si>
  <si>
    <t>公益財団法人宮城厚生協会くりこまクリニック</t>
  </si>
  <si>
    <t>栗原市栗駒岩ケ崎上小路　１５３</t>
  </si>
  <si>
    <t>岩渕医院</t>
  </si>
  <si>
    <t>栗原市栗駒岩ケ崎上町裏７</t>
  </si>
  <si>
    <t>内科、小児科、皮膚科、眼科</t>
  </si>
  <si>
    <t>宮城島クリニック</t>
  </si>
  <si>
    <t>栗原市一迫真坂字清水山王前　６ー５</t>
  </si>
  <si>
    <t>内科、整形外科、こう門科</t>
  </si>
  <si>
    <t>一迫内科クリニック</t>
  </si>
  <si>
    <t>栗原市一迫真坂字真坂町東　６６ー１</t>
  </si>
  <si>
    <t>たまがけ医院</t>
  </si>
  <si>
    <t>栗原市一迫真坂字町東　２８</t>
  </si>
  <si>
    <t>内科、胃腸科、外科、皮膚科、泌尿器科</t>
  </si>
  <si>
    <t>高橋ハートクリニック</t>
  </si>
  <si>
    <t>栗原市瀬峰下田　１７０ー３</t>
  </si>
  <si>
    <t>医療法人社団　龍仁会　萩野診療所</t>
  </si>
  <si>
    <t>内科、小児科、整形外科</t>
  </si>
  <si>
    <t>栗原市立栗原中央病院</t>
  </si>
  <si>
    <t>内科、精神科、小児科、外科、整形外科、皮膚科、泌尿器科、産婦人科、眼科、耳鼻いんこう科、リハビリテーション科、放射線科、麻酔科、消化器内科、病理診断科、循環器内科、呼吸器内科、脳神経内科</t>
  </si>
  <si>
    <t>栗原市立栗駒病院</t>
  </si>
  <si>
    <t>栗原市栗駒岩ケ崎松木田１０番地１</t>
  </si>
  <si>
    <t>内科、外科、整形外科、泌尿器科、眼科</t>
  </si>
  <si>
    <t>栗原市立若柳病院</t>
  </si>
  <si>
    <t>内科、外科、整形外科、形成外科、皮膚科、リハビリテーション科</t>
  </si>
  <si>
    <t>栗原市立瀬峰診療所</t>
  </si>
  <si>
    <t>栗原市立高清水診療所</t>
  </si>
  <si>
    <t>栗原市高清水桜丁　７</t>
  </si>
  <si>
    <t>栗原市立鶯沢診療所</t>
  </si>
  <si>
    <t>佐藤進眼科</t>
  </si>
  <si>
    <t>医療法人宏道会　くろさわ整形外科</t>
  </si>
  <si>
    <t>熊坂医院</t>
  </si>
  <si>
    <t>栗原市一迫字川口中野１０</t>
  </si>
  <si>
    <t>佐藤外科医院</t>
  </si>
  <si>
    <t>栗原市築館伊豆一丁目６番２５号</t>
  </si>
  <si>
    <t>内科、外科、整形外科、リハビリテーション科、肛門外科</t>
  </si>
  <si>
    <t>あさの眼科医院</t>
  </si>
  <si>
    <t>まるき内科クリニック</t>
  </si>
  <si>
    <t>内科，糖尿病内科</t>
  </si>
  <si>
    <t>おの眼科クリニック</t>
  </si>
  <si>
    <t>やまと在宅診療所栗原</t>
  </si>
  <si>
    <t>平田内科</t>
  </si>
  <si>
    <t>整形外科、リハビリテーション科、麻酔科</t>
  </si>
  <si>
    <t>医療法人社団石輝会　石垣クリニック内科循環器科</t>
  </si>
  <si>
    <t>東松島市矢本字大林　１４</t>
  </si>
  <si>
    <t>医療法人医徳会　真壁病院</t>
  </si>
  <si>
    <t>内科、小児科、外科、整形外科、心臓血管外科、泌尿器科、リハビリテーション科、放射線科、消化器内科、血液内科、消化器外科、循環器内科、人工透析内科</t>
  </si>
  <si>
    <t>うつみレディスクリニック</t>
  </si>
  <si>
    <t>内科、心療内科、産婦人科</t>
  </si>
  <si>
    <t>わたなべ整形外科</t>
  </si>
  <si>
    <t>医療法人医徳会　宮戸クリニック</t>
  </si>
  <si>
    <t>内科、循環器科、小児科、外科</t>
  </si>
  <si>
    <t>医療法人社団仙石病院</t>
  </si>
  <si>
    <t>内科、脳神経外科、皮膚科、泌尿器科、麻酔科、循環器内科</t>
  </si>
  <si>
    <t>永沼ハートクリニック</t>
  </si>
  <si>
    <t>内科、循環器内科、内科</t>
  </si>
  <si>
    <t>やもと内科クリニック</t>
  </si>
  <si>
    <t>仙台ペインクリニック石巻分院</t>
  </si>
  <si>
    <t>東松島市赤井字八反谷地９９番１</t>
  </si>
  <si>
    <t>整形外科、麻酔科</t>
  </si>
  <si>
    <t>野蒜ケ丘痛みのクリニック</t>
  </si>
  <si>
    <t>東松島市矢本字大溜325</t>
  </si>
  <si>
    <t>神山クリニック</t>
  </si>
  <si>
    <t>内科、泌尿器科、糖尿病内科</t>
  </si>
  <si>
    <t>やもと眼科</t>
  </si>
  <si>
    <t>東松島市矢本大溜３４３</t>
  </si>
  <si>
    <t>東松島市赤井字南一２５３番地</t>
  </si>
  <si>
    <t>大崎市民病院</t>
  </si>
  <si>
    <t>内科、精神科、リウマチ科、小児科、外科、整形外科、形成外科、脳神経外科、呼吸器外科、心臓血管外科、小児外科、皮膚科、泌尿器科、産科、婦人科、眼科、耳鼻いんこう科、リハビリテーション科、歯科口腔外科、麻酔科、消化器内科、血液内科、腫瘍内科、放射線診断科、病理診断科、循環器内科、呼吸器内科、肛門外科、腎臓・内分泌内科、脳神経内科、糖尿病・代謝内科、疼痛緩和内科、血管外科、乳腺外科、内分泌外科</t>
  </si>
  <si>
    <t>大崎市民病院鹿島台分院</t>
  </si>
  <si>
    <t>大崎市鹿島台平渡字東要害２０</t>
  </si>
  <si>
    <t>大崎市民病院岩出山分院</t>
  </si>
  <si>
    <t>内科、精神科、外科、眼科</t>
  </si>
  <si>
    <t>大崎市民病院鳴子温泉分院</t>
  </si>
  <si>
    <t>大崎市鳴子温泉字末沢１</t>
  </si>
  <si>
    <t>内科、外科、整形外科、眼科、耳鼻いんこう科</t>
  </si>
  <si>
    <t>大崎市民病院田尻診療所</t>
  </si>
  <si>
    <t>内科、脳神経外科、眼科、耳鼻いんこう科</t>
  </si>
  <si>
    <t>一般財団法人片倉病院</t>
  </si>
  <si>
    <t>大崎市古川浦町　１ー３７</t>
  </si>
  <si>
    <t>内科、神経内科、小児科、外科、整形外科、脳神経外科、リハビリテーション科、放射線科、消化器内科、呼吸器内科</t>
  </si>
  <si>
    <t>一般財団法人　佐藤病院</t>
  </si>
  <si>
    <t>公益財団法人宮城厚生協会古川民主病院</t>
  </si>
  <si>
    <t>大崎市古川駅東　２ー１１ー１４</t>
  </si>
  <si>
    <t>内科、小児科、歯科、矯正歯科、小児歯科、歯科口腔外科、消化器内科、循環器内科、呼吸器内科</t>
  </si>
  <si>
    <t>医療法人永仁会　永仁会病院</t>
  </si>
  <si>
    <t>歯科、矯正歯科、消化器内科、消化器外科、肛門外科、腎臓内科、乳腺外科、人工透析内科</t>
  </si>
  <si>
    <t>医療法人社団猪瀬医院</t>
  </si>
  <si>
    <t>内科、胃腸科、小児科、外科、整形外科、こう門科</t>
  </si>
  <si>
    <t>医療法人遠藤皮膚科医院</t>
  </si>
  <si>
    <t>医療法人青翔会　北みやぎ外科クリニック</t>
  </si>
  <si>
    <t>麻酔科、肛門外科</t>
  </si>
  <si>
    <t>内科、循環器科、小児科</t>
  </si>
  <si>
    <t>さとう内科循環器科医院</t>
  </si>
  <si>
    <t>大崎市古川中里　３ー１１ー５９</t>
  </si>
  <si>
    <t>医療法人渋谷皮膚科泌尿器科医院</t>
  </si>
  <si>
    <t>大崎市古川東町　１ー２８</t>
  </si>
  <si>
    <t>冨樫クリニック</t>
  </si>
  <si>
    <t>内科、小児科、消化器内科、循環器内科、呼吸器内科</t>
  </si>
  <si>
    <t>医療法人菅野愛生会　こころのホスピタル・古川グリーンヒルズ</t>
  </si>
  <si>
    <t>大崎市古川西館　３ー６ー６０</t>
  </si>
  <si>
    <t>内科、精神科、児童精神科</t>
  </si>
  <si>
    <t>古川星陵病院</t>
  </si>
  <si>
    <t>内科、呼吸器科、循環器科、脳神経外科、放射線科</t>
  </si>
  <si>
    <t>古川中央眼科</t>
  </si>
  <si>
    <t>こしの皮膚科医院</t>
  </si>
  <si>
    <t>医療法人社団清靖会　木村病院</t>
  </si>
  <si>
    <t>内科、心療内科、精神科、神経内科、泌尿器科</t>
  </si>
  <si>
    <t>高橋記念せきや整形外科</t>
  </si>
  <si>
    <t>宮里クリニック</t>
  </si>
  <si>
    <t>大崎市古川城西　２ー６ー２４</t>
  </si>
  <si>
    <t>塩沢整形外科クリニック</t>
  </si>
  <si>
    <t>徳永整形外科病院</t>
  </si>
  <si>
    <t>長井内科医院</t>
  </si>
  <si>
    <t>大崎市古川字本鹿島１４５</t>
  </si>
  <si>
    <t>大崎市松山千石字松山４４０</t>
  </si>
  <si>
    <t>医療法人社団近江医院</t>
  </si>
  <si>
    <t>岩渕胃腸科内科クリニック</t>
  </si>
  <si>
    <t>佐久間内科医院</t>
  </si>
  <si>
    <t>旭山病院</t>
  </si>
  <si>
    <t>高橋医院</t>
  </si>
  <si>
    <t>遊佐クリニック</t>
  </si>
  <si>
    <t>大崎市鳴子温泉字湯元１０４</t>
  </si>
  <si>
    <t>内科、胃腸科、外科、整形外科、こう門科、麻酔科</t>
  </si>
  <si>
    <t>天野内科クリニック</t>
  </si>
  <si>
    <t>大崎市田尻北牧目字新堀　４６ー８</t>
  </si>
  <si>
    <t>内科、小児科、消化器内科</t>
  </si>
  <si>
    <t>すずき脳神経外科クリニック</t>
  </si>
  <si>
    <t>神経内科、脳神経外科、リハビリテーション科</t>
  </si>
  <si>
    <t>みやぎ北部循環器科</t>
  </si>
  <si>
    <t>循環器内科</t>
  </si>
  <si>
    <t>鎌田内科クリニック</t>
  </si>
  <si>
    <t>大崎東部クリニック</t>
  </si>
  <si>
    <t>大崎市松山金谷字中田８３番地</t>
  </si>
  <si>
    <t>穂波の郷クリニック</t>
  </si>
  <si>
    <t>大崎市古川穂波６丁目３０番１２号</t>
  </si>
  <si>
    <t>早坂整形外科</t>
  </si>
  <si>
    <t>医療法人泉整形外科病院　大崎西整形外科</t>
  </si>
  <si>
    <t>大崎市古川新田字川原前２９７番地</t>
  </si>
  <si>
    <t>東北整形外科大崎</t>
  </si>
  <si>
    <t>大崎市鹿島台木間塚字小谷地４６３番地６</t>
  </si>
  <si>
    <t>さの整形外科クリニック</t>
  </si>
  <si>
    <t>熊谷皮ふ科</t>
  </si>
  <si>
    <t>古川駅南耳鼻咽喉科</t>
  </si>
  <si>
    <t>アレルギー科、耳鼻いんこう科</t>
  </si>
  <si>
    <t>大崎市民病院　健康管理センター</t>
  </si>
  <si>
    <t>大崎市古川千手寺町二丁目３番15号</t>
  </si>
  <si>
    <t>内科、呼吸器科、胃腸科、循環器科、アレルギー科、小児科</t>
  </si>
  <si>
    <t>髙橋医院</t>
  </si>
  <si>
    <t>大崎市古川中里二丁目2番25号</t>
  </si>
  <si>
    <t>内科、小児科、脳神経外科、循環器内科</t>
  </si>
  <si>
    <t>みやざき内科ｸﾘﾆｯｸ</t>
  </si>
  <si>
    <t>大崎市古川駅東三丁目４番２０号</t>
  </si>
  <si>
    <t>アレルギー科、消化器内科、循環器内科、呼吸器内科</t>
  </si>
  <si>
    <t>かしまだい中央眼科</t>
  </si>
  <si>
    <t>星陵あすか病院</t>
  </si>
  <si>
    <t>大崎市古川稲葉二丁目3番15号</t>
  </si>
  <si>
    <t>内科、リハビリテーション科、人工透析内科</t>
  </si>
  <si>
    <t>尾花内科クリニック</t>
  </si>
  <si>
    <t>内科・消化器内科</t>
  </si>
  <si>
    <t>大崎ペインクリニック</t>
  </si>
  <si>
    <t>大崎市古川大宮３丁目８番１０号</t>
  </si>
  <si>
    <t>麻酔科、ペインクリニック内科、ペインクリニック外科</t>
  </si>
  <si>
    <t>医療法人社団やまと　やまと在宅診療所大崎</t>
  </si>
  <si>
    <t>登米市迫町佐沼字南元丁72番地</t>
  </si>
  <si>
    <t>古川きたまち内科クリニック</t>
  </si>
  <si>
    <t>医療法人社団益和会　富谷医院</t>
  </si>
  <si>
    <t>内科、消化器科、アレルギー科、小児科、外科、整形外科、皮膚科、産婦人科</t>
  </si>
  <si>
    <t>内科、消化器科、循環器科、小児科</t>
  </si>
  <si>
    <t>渋谷クリニック</t>
  </si>
  <si>
    <t>内科、外科、整形外科、皮膚科、泌尿器科、こう門科、リハビリテーション科</t>
  </si>
  <si>
    <t>医療法人明石台整形外科</t>
  </si>
  <si>
    <t>内科、外科、整形外科、リハビリテーション科</t>
  </si>
  <si>
    <t>いとうクリニック</t>
  </si>
  <si>
    <t>富谷中央病院</t>
  </si>
  <si>
    <t>内科、皮膚科、眼科、歯科、消化器内科、呼吸器内科、人工透析内科、糖尿病内科、循環器内科</t>
  </si>
  <si>
    <t>大清水内科クリニック</t>
  </si>
  <si>
    <t>医療法人社団交鐘会　あおぞら在宅診療所富谷仙台</t>
  </si>
  <si>
    <t>医療法人　恵尚会　Town Clinic en</t>
  </si>
  <si>
    <t>富谷市明石台七丁目１番５</t>
  </si>
  <si>
    <t>富ケ丘内科・アレルギー科</t>
  </si>
  <si>
    <t>富谷市富ケ丘二丁目１１番４４号</t>
  </si>
  <si>
    <t>内科、アレルギー科、小児科、胃腸内科、糖尿病内科、循環器内科、呼吸器内科、腎臓内科</t>
  </si>
  <si>
    <t>たいとみ胃腸内科医院</t>
  </si>
  <si>
    <t>内科、胃腸内科、消化器内科、糖尿病代謝内科</t>
  </si>
  <si>
    <t>くまのみ皮ふ科クリニック</t>
  </si>
  <si>
    <t>皮膚科、小児皮膚科</t>
  </si>
  <si>
    <t>七ケ宿町国民健康保険診療所</t>
  </si>
  <si>
    <t>刈田郡七ケ宿町字関１８３</t>
  </si>
  <si>
    <t>蔵王町国民健康保険蔵王病院</t>
  </si>
  <si>
    <t>刈田郡蔵王町大字円田字和田１３０</t>
  </si>
  <si>
    <t>七ケ宿町国民健康保険湯原診療所</t>
  </si>
  <si>
    <t>刈田郡七ケ宿町字東口道下　４ー６</t>
  </si>
  <si>
    <t>医療法人社団恒心会　佐藤医院</t>
  </si>
  <si>
    <t>刈田郡蔵王町宮字町３６</t>
  </si>
  <si>
    <t>内科、呼吸器科、小児科、皮膚科、消化器内科、循環器内科</t>
  </si>
  <si>
    <t>医療法人社団　内方医院</t>
  </si>
  <si>
    <t>刈田郡蔵王町宮字町　３２</t>
  </si>
  <si>
    <t>国民健康保険川崎病院</t>
  </si>
  <si>
    <t>柴田郡川崎町大字前川字北原２３ー１</t>
  </si>
  <si>
    <t>内科、外科、整形外科、皮膚科、歯科</t>
  </si>
  <si>
    <t>医療法人本多友愛会　仙南中央病院</t>
  </si>
  <si>
    <t>乾医院</t>
  </si>
  <si>
    <t>柴田郡柴田町槻木下町　３ー１ー２０</t>
  </si>
  <si>
    <t>内科、外科、整形外科、泌尿器科、肛門外科</t>
  </si>
  <si>
    <t>八木沼眼科クリニック</t>
  </si>
  <si>
    <t>柴田郡柴田町船岡東　２ー８ー３９</t>
  </si>
  <si>
    <t>かわち医院</t>
  </si>
  <si>
    <t>内科、外科、皮膚科、麻酔科</t>
  </si>
  <si>
    <t>大沼胃腸科内科外科医院</t>
  </si>
  <si>
    <t>内科、消化器科、外科</t>
  </si>
  <si>
    <t>医療法人社団北杜会船岡今野病院</t>
  </si>
  <si>
    <t>柴田郡柴田町船岡中央　２ー５ー１６</t>
  </si>
  <si>
    <t>内科、整形外科、泌尿器科</t>
  </si>
  <si>
    <t>善積医院</t>
  </si>
  <si>
    <t>柴田郡村田町字西４６</t>
  </si>
  <si>
    <t>内科、整形外科</t>
  </si>
  <si>
    <t>みやぎ県南医療生活協同組合しばた協同クリニック</t>
  </si>
  <si>
    <t>内科、循環器科、糖尿病代謝科</t>
  </si>
  <si>
    <t>いのまた眼科</t>
  </si>
  <si>
    <t>柴田郡大河原町字西町８０ー３</t>
  </si>
  <si>
    <t>みやぎ県南中核病院附属村田診療所</t>
  </si>
  <si>
    <t>みやぎ県南中核病院</t>
  </si>
  <si>
    <t>内科、精神科、小児科、外科、整形外科、形成外科、脳神経外科、呼吸器外科、皮膚科、泌尿器科、産婦人科、眼科、耳鼻いんこう科、リハビリテーション科、歯科口腔外科、麻酔科、消化器内科、血液内科、腫瘍内科、消化器外科、代謝内科、糖尿病内科、放射線診断科、病理診断科、循環器内科、呼吸器内科、腎臓内科、緩和ケア内科、内分泌内科、脳神経内科、乳腺外科、放射線治療科、救急科、膠原病内科</t>
  </si>
  <si>
    <t>さくら内科消化器科</t>
  </si>
  <si>
    <t>さくら小児科医院</t>
  </si>
  <si>
    <t>さくらの杜診療所</t>
  </si>
  <si>
    <t>整形外科、泌尿器科、リハビリテーション科</t>
  </si>
  <si>
    <t>平井内科</t>
  </si>
  <si>
    <t>庄司クリニック</t>
  </si>
  <si>
    <t>医療法人仁泉会　川崎こころ病院</t>
  </si>
  <si>
    <t>柴田郡川崎町大字川内字北川原山７２番地</t>
  </si>
  <si>
    <t>心療内科、精神科、リハビリテーション科</t>
  </si>
  <si>
    <t>南桜ホームケアクリニック</t>
  </si>
  <si>
    <t>柴田郡大河原町字南桜町７番８</t>
  </si>
  <si>
    <t>内科、緩和ケア、疼痛緩和内科</t>
  </si>
  <si>
    <t>やすだ耳鼻咽喉科・アレルギー科クリニック</t>
  </si>
  <si>
    <t>村田透析クリニック</t>
  </si>
  <si>
    <t>おおぬま小児科</t>
  </si>
  <si>
    <t>水戸眼科医院</t>
  </si>
  <si>
    <t>高沢内科</t>
  </si>
  <si>
    <t>柴田郡柴田町西船迫３丁目５番地１</t>
  </si>
  <si>
    <t>じん整形外科クリニック</t>
  </si>
  <si>
    <t>リウマチ科、整形外科、リハビリテーション科、ペインクリニック内科</t>
  </si>
  <si>
    <t>いのまた　胃と腸・内科クリニック</t>
  </si>
  <si>
    <t>柴田郡柴田町槻木上町２丁目７番２５号</t>
  </si>
  <si>
    <t>船岡中央クリニック</t>
  </si>
  <si>
    <t>内科、心療内科、消化器内科、循環器内科、呼吸器内科</t>
  </si>
  <si>
    <t>いとうハートクリニック</t>
  </si>
  <si>
    <t>柴田郡村田町大字村田字反町１１２</t>
  </si>
  <si>
    <t>内科、小児科、外科、皮膚科</t>
  </si>
  <si>
    <t>丸森町国民健康保険丸森病院</t>
  </si>
  <si>
    <t>伊具郡丸森町字鳥屋　２７</t>
  </si>
  <si>
    <t>内科、小児科、外科、整形外科、歯科</t>
  </si>
  <si>
    <t>三澤医院</t>
  </si>
  <si>
    <t>大友医院ヒロミ小児科</t>
  </si>
  <si>
    <t>亘理郡亘理町字下小路　１８ー１</t>
  </si>
  <si>
    <t>医療法人社団　三上医院</t>
  </si>
  <si>
    <t>内科、脳神経内科</t>
  </si>
  <si>
    <t>医療法人　山形外科</t>
  </si>
  <si>
    <t>内科、消化器科、外科、整形外科、泌尿器科</t>
  </si>
  <si>
    <t>松村クリニック</t>
  </si>
  <si>
    <t>医療法人育志会　ひらたクリニック</t>
  </si>
  <si>
    <t>亘理郡山元町山寺字石田21?3</t>
  </si>
  <si>
    <t>内科、外科、整形外科、泌尿器科、リハビリテーション科、循環器科（高血圧）、糖尿病科</t>
  </si>
  <si>
    <t>医療法人社団青藍会亘理整形外科</t>
  </si>
  <si>
    <t>亘理郡亘理町逢隈鹿島字寺前南２７</t>
  </si>
  <si>
    <t>板橋胃腸科肛門科</t>
  </si>
  <si>
    <t>亘理郡亘理町逢隈中泉字沼添　７４ー１</t>
  </si>
  <si>
    <t>胃腸科、こう門科</t>
  </si>
  <si>
    <t>医療法人社団亘理浅野眼科医院</t>
  </si>
  <si>
    <t>亘理郡亘理町字新町２４</t>
  </si>
  <si>
    <t>医療法人社団やべ内科クリニック亘理診療所</t>
  </si>
  <si>
    <t>内科、糖尿病代謝科、脂質代謝科</t>
  </si>
  <si>
    <t>柿沼循環器科</t>
  </si>
  <si>
    <t>きくち皮フ科</t>
  </si>
  <si>
    <t>亘理郡亘理町字狐塚２</t>
  </si>
  <si>
    <t>アレルギー科、皮膚科</t>
  </si>
  <si>
    <t>わたり眼科</t>
  </si>
  <si>
    <t>三浦クリニック</t>
  </si>
  <si>
    <t>亘理郡亘理町字新町４０番地</t>
  </si>
  <si>
    <t>内科、消化器科、外科、こう門科、リハビリテーション科、人工透析</t>
  </si>
  <si>
    <t>医療法人社団　ヴェリタス　亘理往診クリニック</t>
  </si>
  <si>
    <t>みやぎ南部整形外科クリニック</t>
  </si>
  <si>
    <t>内科、リウマチ科、外科、整形外科、リハビリテーション科</t>
  </si>
  <si>
    <t>高橋内科乳腺外科</t>
  </si>
  <si>
    <t>亘理郡亘理町逢隈中泉字沼添７３番１号</t>
  </si>
  <si>
    <t>内科、消化器内科、乳腺外科</t>
  </si>
  <si>
    <t>浅生原クリニック</t>
  </si>
  <si>
    <t>内科、小児科、外科、消化器内科、糖尿病内科</t>
  </si>
  <si>
    <t>県南ありのまま舎診療所</t>
  </si>
  <si>
    <t>医療法人さくら会　さくら整形外科クリニック</t>
  </si>
  <si>
    <t>亘理郡亘理町字東郷155番地1</t>
  </si>
  <si>
    <t>亘理郡山元町坂元字道合37番地</t>
  </si>
  <si>
    <t>内科、小児科、外科、胃腸内科、消化器内科</t>
  </si>
  <si>
    <t>松島医療生活協同組合松島海岸診療所</t>
  </si>
  <si>
    <t>内科、消化器科、循環器科、歯科、矯正歯科、小児歯科</t>
  </si>
  <si>
    <t>医療法人友仁会松島病院</t>
  </si>
  <si>
    <t>内科、消化器科、外科、整形外科、産婦人科、リハビリテーション科</t>
  </si>
  <si>
    <t>青葉台クリニック</t>
  </si>
  <si>
    <t>宮城郡利府町青葉台　３ー１ー７８</t>
  </si>
  <si>
    <t>りふの内科クリニック</t>
  </si>
  <si>
    <t>内科、糖尿病内科、腎臓内科、人工透析内科</t>
  </si>
  <si>
    <t>にしむら整形外科</t>
  </si>
  <si>
    <t>たかだこども医院</t>
  </si>
  <si>
    <t>宮城利府掖済会病院</t>
  </si>
  <si>
    <t>宮城郡利府町森郷字新太子堂　５１</t>
  </si>
  <si>
    <t>内科、神経内科、呼吸器科、消化器科、循環器科、外科、整形外科、脳神経外科、皮膚科、泌尿器科、こう門科、リハビリテーション科、放射線科、漢方内科、</t>
  </si>
  <si>
    <t>やすい眼科</t>
  </si>
  <si>
    <t>宮城郡利府町花園　１ー２０１ー２</t>
  </si>
  <si>
    <t>せせらぎ耳鼻科</t>
  </si>
  <si>
    <t>かしま田園クリニック</t>
  </si>
  <si>
    <t>宮城郡七ケ浜町松ケ浜字謡　１３７ー２０</t>
  </si>
  <si>
    <t>内科、消化器科、小児科</t>
  </si>
  <si>
    <t>ゆうファミリークリニック</t>
  </si>
  <si>
    <t>内科、アレルギー科、リウマチ科、リハビリテーション科</t>
  </si>
  <si>
    <t>さわおとクリニック</t>
  </si>
  <si>
    <t>宮城郡利府町沢乙東１番地１２</t>
  </si>
  <si>
    <t>医療法人寶樹会　仙塩利府病院</t>
  </si>
  <si>
    <t>内科、外科、整形外科、形成外科、皮膚科、泌尿器科、眼科、耳鼻いんこう科、リハビリテーション科、放射線科、麻酔科</t>
  </si>
  <si>
    <t>利府アイクリニック</t>
  </si>
  <si>
    <t>新中道皮ふ科クリニック</t>
  </si>
  <si>
    <t>宮城郡利府町新中道二丁目５番１０号</t>
  </si>
  <si>
    <t>医療法人社団廣仁会　りふ皮膚科アレルギー科クリニック</t>
  </si>
  <si>
    <t>宮城郡利府町利府字新屋田前２２イオンモール新利府北館２F</t>
  </si>
  <si>
    <t>利府整形外科クリニック</t>
  </si>
  <si>
    <t>公立黒川病院</t>
  </si>
  <si>
    <t>黒川郡大和町吉岡字西桧木６０</t>
  </si>
  <si>
    <t>内科、心療内科、呼吸器科、消化器科、循環器科、リウマチ科、小児科、外科、整形外科、皮膚科、泌尿器科、こう門科、産婦人科、眼科、耳鼻いんこう科、リハビリテーション科、麻酔科</t>
  </si>
  <si>
    <t>内科、心療内科、精神科、整形外科</t>
  </si>
  <si>
    <t>大和クリニック</t>
  </si>
  <si>
    <t>かとう眼科医院</t>
  </si>
  <si>
    <t>医療法人社団　田山小児科医院</t>
  </si>
  <si>
    <t>吉岡まほろばクリニック</t>
  </si>
  <si>
    <t>黒川郡大和町吉岡まほろば一丁目５番地の４</t>
  </si>
  <si>
    <t>内科、神経内科、消化器内科、循環器内科、呼吸器内科、人工透析内科</t>
  </si>
  <si>
    <t>深見内科・循環器内科医院</t>
  </si>
  <si>
    <t>医療法人社団俊香会　杉山医院</t>
  </si>
  <si>
    <t>内科、腫瘍内科、胃腸内科</t>
  </si>
  <si>
    <t>医療法人富優会　大衡村診療所</t>
  </si>
  <si>
    <t>黒川郡大衡村大衡字河原55番地11</t>
  </si>
  <si>
    <t>内科、アレルギー科、小児科、皮膚科、気管食道科、リハビリテーション科、放射線科、歯科、胃腸内科、循環器内科、呼吸器内科</t>
  </si>
  <si>
    <t>ひろこクリニック</t>
  </si>
  <si>
    <t>黒川郡大和町吉岡字上町２５</t>
  </si>
  <si>
    <t>しあわせの杜こどもファミリークリニック</t>
  </si>
  <si>
    <t>公益財団法人宮城厚生協会中新田民主医院</t>
  </si>
  <si>
    <t>加美郡加美町字矢越３４５</t>
  </si>
  <si>
    <t>医療法人佐々木胃腸科</t>
  </si>
  <si>
    <t>加美郡加美町字西町　４８</t>
  </si>
  <si>
    <t>医療法人社団鈴木内科医院</t>
  </si>
  <si>
    <t>加美郡加美町字旧舘１番１７</t>
  </si>
  <si>
    <t>中新田クリニック</t>
  </si>
  <si>
    <t>内科、小児科、循環器内科、人工透析</t>
  </si>
  <si>
    <t>医療法人社団伊藤医院</t>
  </si>
  <si>
    <t>加美郡加美町旧舘１番８０ー２</t>
  </si>
  <si>
    <t>菅野眼科医院</t>
  </si>
  <si>
    <t>鈴木診療所</t>
  </si>
  <si>
    <t>おのだクリニック</t>
  </si>
  <si>
    <t>内科、消化器内科、呼吸器内科、アレルギー内科，感染症内科</t>
  </si>
  <si>
    <t>公立加美病院</t>
  </si>
  <si>
    <t>加美郡色麻町四竃字杉成　９</t>
  </si>
  <si>
    <t>内科、消化器科、循環器科、小児科、外科、整形外科、耳鼻いんこう科、リハビリテーション科</t>
  </si>
  <si>
    <t>さとう公整形外科</t>
  </si>
  <si>
    <t>医療法人清宮眼科医院</t>
  </si>
  <si>
    <t>よこやま医院</t>
  </si>
  <si>
    <t>加美郡加美町字西町７８番地１</t>
  </si>
  <si>
    <t>涌谷町国民健康保険病院</t>
  </si>
  <si>
    <t>遠田郡涌谷町涌谷字中江南２７８</t>
  </si>
  <si>
    <t>内科、神経内科、外科、整形外科、皮膚科、泌尿器科、眼科、麻酔科、消化器内科、循環器内科、呼吸器内科</t>
  </si>
  <si>
    <t>佐々木整形外科</t>
  </si>
  <si>
    <t>遠田郡美里町南小牛田字山の神５３ー４</t>
  </si>
  <si>
    <t>遠田郡美里町関根字道明４３</t>
  </si>
  <si>
    <t>袖井クリニック</t>
  </si>
  <si>
    <t>遠田郡美里町北浦字姥ケ沢　７２ー３</t>
  </si>
  <si>
    <t>整形外科、形成外科、皮膚科</t>
  </si>
  <si>
    <t>つのだ眼科</t>
  </si>
  <si>
    <t>わくや整形外科</t>
  </si>
  <si>
    <t>野崎病院</t>
  </si>
  <si>
    <t>遠田郡美里町藤ケ崎町１７１</t>
  </si>
  <si>
    <t>野崎内科胃腸科</t>
  </si>
  <si>
    <t>遠田郡美里町藤ケ崎町１７８</t>
  </si>
  <si>
    <t>内科、胃腸科、眼科</t>
  </si>
  <si>
    <t>小牛田内科クリニック</t>
  </si>
  <si>
    <t>内科、循環器内科、腎臓内科、人工透析</t>
  </si>
  <si>
    <t>髙城利江整形外科</t>
  </si>
  <si>
    <t>美里町立南郷病院</t>
  </si>
  <si>
    <t>遠田郡美里町木間塚字原田５</t>
  </si>
  <si>
    <t>内科、小児科、外科、整形外科、眼科</t>
  </si>
  <si>
    <t>米谷医院</t>
  </si>
  <si>
    <t>遠田郡涌谷町字田町裏１９１番地１</t>
  </si>
  <si>
    <t>美里クリニック</t>
  </si>
  <si>
    <t>内科、皮膚科、糖尿病内科、ペインクリニック内科</t>
  </si>
  <si>
    <t>女川町地域医療センター</t>
  </si>
  <si>
    <t>牡鹿郡女川町鷲神浜字堀切山１０７番地１</t>
  </si>
  <si>
    <t>内科、小児科、外科、整形外科、皮膚科、眼科</t>
  </si>
  <si>
    <t>歌津八番クリニック</t>
  </si>
  <si>
    <t>医療法人社団　新生会　佐藤徹内科クリニック</t>
  </si>
  <si>
    <t>南三陸病院</t>
  </si>
  <si>
    <t>本吉郡南三陸町志津川字沼田１４番地３</t>
  </si>
  <si>
    <t>内科、小児科、外科、整形外科、皮膚科、泌尿器科、婦人科、眼科、耳鼻いんこう科、歯科口腔外科</t>
  </si>
  <si>
    <t>歯科、小児歯科</t>
  </si>
  <si>
    <t>独立行政法人国立病院機構宮城病院</t>
  </si>
  <si>
    <t>亘理郡山元町高瀬字合戦原１００</t>
  </si>
  <si>
    <t>内科、アレルギー科、小児科、外科、整形外科、脳神経外科、リハビリテーション科、放射線科、歯科、麻酔科、消化器内科、循環器内科、呼吸器内科、脳神経内科</t>
  </si>
  <si>
    <t>千葉歯科クリニック</t>
  </si>
  <si>
    <t>石巻市蛇田字新埣寺　２０６ー１</t>
  </si>
  <si>
    <t>木村歯科医院</t>
  </si>
  <si>
    <t>石巻市中央　２ー１０ー１</t>
  </si>
  <si>
    <t>歯科、小児歯科、歯科口腔外科</t>
  </si>
  <si>
    <t>門脇歯科クリニック</t>
  </si>
  <si>
    <t>かづま歯科クリニック</t>
  </si>
  <si>
    <t>前谷地歯科医院</t>
  </si>
  <si>
    <t>石巻市前谷地字黒沢前　９４ー１</t>
  </si>
  <si>
    <t>医療法人　光萩会　お歯科</t>
  </si>
  <si>
    <t>おき歯科クリニック</t>
  </si>
  <si>
    <t>坂井おとなこども歯科</t>
  </si>
  <si>
    <t>石巻市中里三丁目１番１１号</t>
  </si>
  <si>
    <t>内海歯科</t>
  </si>
  <si>
    <t>いしのまき訪問歯科クリニック</t>
  </si>
  <si>
    <t>りきまる歯科</t>
  </si>
  <si>
    <t>石巻市鹿又字道的前１１５</t>
  </si>
  <si>
    <t>歯科、歯科口腔外科</t>
  </si>
  <si>
    <t>郷家第三歯科医院</t>
  </si>
  <si>
    <t>泉沢歯科医院</t>
  </si>
  <si>
    <t>あおうだ矯正歯科クリニック</t>
  </si>
  <si>
    <t>塩竈市本町　２ー９ＤＯ　ＰＬＡＺＡＣＯＭビル２Ｆ</t>
  </si>
  <si>
    <t>矯正歯科</t>
  </si>
  <si>
    <t>みや歯科クリニック</t>
  </si>
  <si>
    <t>永沼歯科クリニック</t>
  </si>
  <si>
    <t>引地歯科医院</t>
  </si>
  <si>
    <t>塩竈市藤倉２ー３ー１１</t>
  </si>
  <si>
    <t>一般歯科</t>
  </si>
  <si>
    <t>こぐえ歯科クリニック</t>
  </si>
  <si>
    <t>玉川歯科医院</t>
  </si>
  <si>
    <t>金澤歯科医院</t>
  </si>
  <si>
    <t>ファミリー歯科医院</t>
  </si>
  <si>
    <t>菅原歯科医院</t>
  </si>
  <si>
    <t>気仙沼市南郷5の3</t>
  </si>
  <si>
    <t>米倉歯科クリニック</t>
  </si>
  <si>
    <t>歯科、矯正歯科、小児歯科</t>
  </si>
  <si>
    <t>田中前　加藤歯科医院</t>
  </si>
  <si>
    <t>気仙沼市田中前　１ー４ー７</t>
  </si>
  <si>
    <t>千葉歯科医院</t>
  </si>
  <si>
    <t>ごとう歯科医院</t>
  </si>
  <si>
    <t>白石市字堂場前１２８</t>
  </si>
  <si>
    <t>けんじ歯科クリニック</t>
  </si>
  <si>
    <t>ひかり歯科医院</t>
  </si>
  <si>
    <t>歯科、小児歯科、口腔外科、矯正科</t>
  </si>
  <si>
    <t>野田歯科医院</t>
  </si>
  <si>
    <t>島田歯科医院</t>
  </si>
  <si>
    <t>ライフタウン歯科クリニック</t>
  </si>
  <si>
    <t>名取市相互台　１ー１１ー４</t>
  </si>
  <si>
    <t>那智が丘歯科医院</t>
  </si>
  <si>
    <t>名取市那智が丘　４ー１９ー２</t>
  </si>
  <si>
    <t>ささき歯科</t>
  </si>
  <si>
    <t>名取市名取が丘　２ー３ー４</t>
  </si>
  <si>
    <t>歯科クリニック守</t>
  </si>
  <si>
    <t>名取市増田　３ー８ー６７</t>
  </si>
  <si>
    <t>なとり駅前歯科クリニック</t>
  </si>
  <si>
    <t>いけだ歯科クリニック</t>
  </si>
  <si>
    <t>名取市杜せきのした１丁目２番地の２２</t>
  </si>
  <si>
    <t>めでしま歯科医院</t>
  </si>
  <si>
    <t>櫻場デンタルクリニック</t>
  </si>
  <si>
    <t>名取市手倉田字八幡６０８番地プレミスト名取駅前１０１</t>
  </si>
  <si>
    <t>歯科、矯正歯科、小児歯科、歯科口腔外科</t>
  </si>
  <si>
    <t>医療法人社団巧望会あいおい歯科イオンモール名取医院</t>
  </si>
  <si>
    <t>かまた歯科医院</t>
  </si>
  <si>
    <t>角田市角田字幸町　７３</t>
  </si>
  <si>
    <t>梅津歯科クリニック</t>
  </si>
  <si>
    <t>多賀城市鶴ケ谷　２ー２９ー１７</t>
  </si>
  <si>
    <t>浮島歯科クリニック</t>
  </si>
  <si>
    <t>こう歯科クリニック</t>
  </si>
  <si>
    <t>矯正歯科、小児歯科、一般歯科</t>
  </si>
  <si>
    <t>じん歯科医院</t>
  </si>
  <si>
    <t>成沢歯科医院</t>
  </si>
  <si>
    <t>多賀城市新田字後　１２ー１２</t>
  </si>
  <si>
    <t>歯科・アイザワデンタル</t>
  </si>
  <si>
    <t>遠藤歯科医院</t>
  </si>
  <si>
    <t>竹の里歯科・矯正科クリニック</t>
  </si>
  <si>
    <t>岩沼市竹の里　１ー１２ー１２</t>
  </si>
  <si>
    <t>歯科、矯正歯科</t>
  </si>
  <si>
    <t>中江歯科クリニック</t>
  </si>
  <si>
    <t>登米市迫町佐沼字中江　４ー６ー２</t>
  </si>
  <si>
    <t>登米中田佐藤歯科クリニック</t>
  </si>
  <si>
    <t>登米市中田町石森字新蓬田　１０</t>
  </si>
  <si>
    <t>なかつやま歯科医院</t>
  </si>
  <si>
    <t>登米市米山町中津山字筒場埣　３９５ー３</t>
  </si>
  <si>
    <t>くが歯科医院</t>
  </si>
  <si>
    <t>若柳歯科医院</t>
  </si>
  <si>
    <t>栗原市若柳字川北塚ノ越　１ー４</t>
  </si>
  <si>
    <t>太宰歯科医院</t>
  </si>
  <si>
    <t>栗原市栗駒岩ケ崎六日町　４１</t>
  </si>
  <si>
    <t>熊谷歯科クリニック</t>
  </si>
  <si>
    <t>栗原市高清水西善光寺51</t>
  </si>
  <si>
    <t>菊池歯科医院</t>
  </si>
  <si>
    <t>栗原市一迫柳目字上田１７４ー１</t>
  </si>
  <si>
    <t>医療法人郁風会　ヤモト歯科医院</t>
  </si>
  <si>
    <t>かわしま歯科医院</t>
  </si>
  <si>
    <t>イオンタウン矢本歯科診療室ミューズ</t>
  </si>
  <si>
    <t>東松島市小松字上浮足　４３</t>
  </si>
  <si>
    <t>医療法人社団東松島市鳴瀬歯科診療所</t>
  </si>
  <si>
    <t>野村歯科医院</t>
  </si>
  <si>
    <t>青田歯科医院</t>
  </si>
  <si>
    <t>すぎはら歯科医院</t>
  </si>
  <si>
    <t>仁歯科クリニック</t>
  </si>
  <si>
    <t>大崎市古川駅前大通　２ー３ー２</t>
  </si>
  <si>
    <t>ササキ歯科クリニック</t>
  </si>
  <si>
    <t>大崎市古川南町　４ー１ー２０</t>
  </si>
  <si>
    <t>つのだ歯科クリニック</t>
  </si>
  <si>
    <t>大崎市鹿島台平渡字東銭神　１</t>
  </si>
  <si>
    <t>前原歯科クリニック</t>
  </si>
  <si>
    <t>大崎市岩出山字二ノ構１２ー１１</t>
  </si>
  <si>
    <t>大崎市岩出山字二ノ構　１６５</t>
  </si>
  <si>
    <t>加藤歯科クリニック</t>
  </si>
  <si>
    <t>森歯科医院</t>
  </si>
  <si>
    <t>小児歯科、一般歯科</t>
  </si>
  <si>
    <t>大崎口腔保健センター</t>
  </si>
  <si>
    <t>大崎市古川南町１丁目６番２号</t>
  </si>
  <si>
    <t>まつむら歯科クリニック</t>
  </si>
  <si>
    <t>橘高第三歯科</t>
  </si>
  <si>
    <t>うちがさき歯科医院</t>
  </si>
  <si>
    <t>富谷市富谷新町７０</t>
  </si>
  <si>
    <t>内田歯科</t>
  </si>
  <si>
    <t>さくらデンタルクリニック</t>
  </si>
  <si>
    <t>チェルトの森歯科診療所</t>
  </si>
  <si>
    <t>川口歯科医院</t>
  </si>
  <si>
    <t>柴田郡柴田町西船迫　１ー８ー６４</t>
  </si>
  <si>
    <t>玉野井歯科医院</t>
  </si>
  <si>
    <t>医療法人社団　飯淵歯科医院</t>
  </si>
  <si>
    <t>柴田郡柴田町槻木下町　１ー１ー６０</t>
  </si>
  <si>
    <t>さくら歯科</t>
  </si>
  <si>
    <t>目黒歯科クリニック</t>
  </si>
  <si>
    <t>伊具郡丸森町大内字山屋敷９８ー１</t>
  </si>
  <si>
    <t>津川歯科医院</t>
  </si>
  <si>
    <t>亘理郡亘理町字中町東　２３０ー２</t>
  </si>
  <si>
    <t>松島医療生活協同組合松島海岸診療所歯科</t>
  </si>
  <si>
    <t>汐見台歯科医院</t>
  </si>
  <si>
    <t>すがや台歯科医院</t>
  </si>
  <si>
    <t>医療法人かぜの会　ＡＢＥデンタルオフィス</t>
  </si>
  <si>
    <t>鈴木歯科医院</t>
  </si>
  <si>
    <t>橘高第二歯科</t>
  </si>
  <si>
    <t>黒川郡大和町吉岡字上町89</t>
  </si>
  <si>
    <t>医療法人社団青葉会大郷町歯科医院</t>
  </si>
  <si>
    <t>杜のまち　かわかみ歯科クリニック</t>
  </si>
  <si>
    <t>おがわ歯科</t>
  </si>
  <si>
    <t>加美郡加美町字下野目下久保南３ー１</t>
  </si>
  <si>
    <t>みちのく歯科診療所</t>
  </si>
  <si>
    <t>つばさ歯科医院</t>
  </si>
  <si>
    <t>内田歯科クリニック</t>
  </si>
  <si>
    <t>秋元歯科医院</t>
  </si>
  <si>
    <t>庄司歯科医院</t>
  </si>
  <si>
    <t>遠田郡美里町字藤ケ崎町９５</t>
  </si>
  <si>
    <t>医療法人光萩会わくやお歯科</t>
  </si>
  <si>
    <t>遠田郡涌谷町涌谷字洞ヶ崎５イオンスーパーセンター涌谷店</t>
  </si>
  <si>
    <t>みさと歯科</t>
  </si>
  <si>
    <t>遠田郡美里町字素山町138</t>
  </si>
  <si>
    <t>武田歯科医院</t>
  </si>
  <si>
    <t>遠田郡涌谷町立町２１</t>
  </si>
  <si>
    <t>遠田郡涌谷町新町３３</t>
  </si>
  <si>
    <t>有限会社阿部薬局</t>
  </si>
  <si>
    <t>石巻市千石町　６ー１１</t>
  </si>
  <si>
    <t>調剤薬局</t>
  </si>
  <si>
    <t>有限会社うめもと薬局</t>
  </si>
  <si>
    <t>有限会社　穀町調剤薬局</t>
  </si>
  <si>
    <t>石巻市山下町1丁目7番23号</t>
  </si>
  <si>
    <t>有限会社キクユウ薬局</t>
  </si>
  <si>
    <t>石巻調剤薬局</t>
  </si>
  <si>
    <t>石巻市新橋　３ー１２</t>
  </si>
  <si>
    <t>有限会社万石調剤薬局</t>
  </si>
  <si>
    <t>石巻市垂水町　３ー３ー１８</t>
  </si>
  <si>
    <t>友愛薬局有限会社</t>
  </si>
  <si>
    <t>たかぎ薬局　鹿妻店</t>
  </si>
  <si>
    <t>うめもとメディカル薬局</t>
  </si>
  <si>
    <t>石巻市鋳銭場　５ー３１</t>
  </si>
  <si>
    <t>よつば薬局</t>
  </si>
  <si>
    <t>たかぎ薬局清水店</t>
  </si>
  <si>
    <t>エヌ・ワイ調剤薬局</t>
  </si>
  <si>
    <t>石巻市千石町　２ー３</t>
  </si>
  <si>
    <t>ひかり薬局石巻</t>
  </si>
  <si>
    <t>有限会社斎藤薬局</t>
  </si>
  <si>
    <t>石巻市蛇田字新埣寺　１９０ー５</t>
  </si>
  <si>
    <t>響調剤薬局</t>
  </si>
  <si>
    <t>石巻市蛇田字北経塚　１８ー７</t>
  </si>
  <si>
    <t>岡部薬局渡波中央店</t>
  </si>
  <si>
    <t>石巻市後生橋１番３号</t>
  </si>
  <si>
    <t>カメイ調剤薬局石巻山下店</t>
  </si>
  <si>
    <t>ダック調剤薬局石巻店</t>
  </si>
  <si>
    <t>株式会社小野寺薬局</t>
  </si>
  <si>
    <t>石巻市相野谷字飯野川町　２１</t>
  </si>
  <si>
    <t>おいで薬局</t>
  </si>
  <si>
    <t>ペガサス薬局鹿ノ又店</t>
  </si>
  <si>
    <t>たかぎ薬局鹿又店</t>
  </si>
  <si>
    <t>石巻市鹿又字伊勢前　５２ー３</t>
  </si>
  <si>
    <t>たかぎ薬局広渕店</t>
  </si>
  <si>
    <t>ものう薬局</t>
  </si>
  <si>
    <t>石巻市桃生町中津山字八木　１８４ー１</t>
  </si>
  <si>
    <t>イオンスーパーセンター石巻東店薬局</t>
  </si>
  <si>
    <t>かどのわき薬局</t>
  </si>
  <si>
    <t>フレンド薬局石巻</t>
  </si>
  <si>
    <t>カメイ調剤薬局石巻店</t>
  </si>
  <si>
    <t>イオン薬局石巻店</t>
  </si>
  <si>
    <t>ファーマライズ薬局　石巻店</t>
  </si>
  <si>
    <t>こだまファーマシィ</t>
  </si>
  <si>
    <t>石巻市泉町３丁目１０番４０号</t>
  </si>
  <si>
    <t>石巻医薬品センター薬局</t>
  </si>
  <si>
    <t>おおはし薬局</t>
  </si>
  <si>
    <t>薬局みらい号</t>
  </si>
  <si>
    <t>有限会社へびた調剤薬局</t>
  </si>
  <si>
    <t>石巻市八幡町一丁目６番５号</t>
  </si>
  <si>
    <t>カワチ薬局　石巻西店</t>
  </si>
  <si>
    <t>日本調剤　石巻薬局</t>
  </si>
  <si>
    <t>きたかみ調剤薬局</t>
  </si>
  <si>
    <t>薬局みどりの風</t>
  </si>
  <si>
    <t>エムアート薬局</t>
  </si>
  <si>
    <t>さくら薬局　石巻駅前店</t>
  </si>
  <si>
    <t>マルイチ薬局</t>
  </si>
  <si>
    <t>けやき薬局石巻店</t>
  </si>
  <si>
    <t>薬局うみかぜ号</t>
  </si>
  <si>
    <t>薬局そよかぜ号</t>
  </si>
  <si>
    <t>ウエルシア薬局　石巻赤十字病院前店</t>
  </si>
  <si>
    <t>調剤薬局ツルハドラッグ石巻中里店</t>
  </si>
  <si>
    <t>石巻市南中里1丁目10番5号</t>
  </si>
  <si>
    <t>調剤薬局ツルハドラッグ石巻蛇田店</t>
  </si>
  <si>
    <t>調剤薬局ツルハドラッグ石巻あゆみ野店</t>
  </si>
  <si>
    <t>石巻市あゆみ野三丁目２番地１７</t>
  </si>
  <si>
    <t>すみい薬局</t>
  </si>
  <si>
    <t>薬局虹の風</t>
  </si>
  <si>
    <t>調整薬局</t>
  </si>
  <si>
    <t>有限会社二宮調剤薬局</t>
  </si>
  <si>
    <t>山の手調剤薬局</t>
  </si>
  <si>
    <t>さくら薬局　石巻八幡店</t>
  </si>
  <si>
    <t>調剤薬局ツルハドラッグ石巻広渕店</t>
  </si>
  <si>
    <t>石巻市広渕字馬場屋敷34番1</t>
  </si>
  <si>
    <t>アイン薬局　石巻相野谷店</t>
  </si>
  <si>
    <t>アイン薬局　石巻中浦店</t>
  </si>
  <si>
    <t>なかざと薬局</t>
  </si>
  <si>
    <t>葵調剤薬局　桃生店</t>
  </si>
  <si>
    <t>石巻みらい薬局</t>
  </si>
  <si>
    <t>ふくふく薬局</t>
  </si>
  <si>
    <t>石巻市茜平４丁目１０４番地</t>
  </si>
  <si>
    <t>すばる調剤薬局石巻店</t>
  </si>
  <si>
    <t>石巻市須江字舘山根１０７番地１</t>
  </si>
  <si>
    <t>カメイ調剤薬局　石巻蛇田店</t>
  </si>
  <si>
    <t>かわまち薬局</t>
  </si>
  <si>
    <t>フレンド薬局河南</t>
  </si>
  <si>
    <t>かなりあ薬局</t>
  </si>
  <si>
    <t>調剤薬局ツルハドラッグ大街道東店</t>
  </si>
  <si>
    <t>ペガサス薬局</t>
  </si>
  <si>
    <t>石巻市鹿又字新八幡前５</t>
  </si>
  <si>
    <t>訪問看護</t>
  </si>
  <si>
    <t>株式会社アサヒ薬局</t>
  </si>
  <si>
    <t>有限会社塗薬局</t>
  </si>
  <si>
    <t>塩竈市北浜　２ー７ー４</t>
  </si>
  <si>
    <t>パンダ薬局</t>
  </si>
  <si>
    <t>有限会社新浜薬局</t>
  </si>
  <si>
    <t>塩竈市新浜町　１ー１７ー１６</t>
  </si>
  <si>
    <t>とよしま薬局</t>
  </si>
  <si>
    <t>株式会社早川薬局新浜店</t>
  </si>
  <si>
    <t>リフレ薬局塩釜店</t>
  </si>
  <si>
    <t>アート調剤薬局</t>
  </si>
  <si>
    <t>日本調剤　塩釜薬局</t>
  </si>
  <si>
    <t>ソルト薬局</t>
  </si>
  <si>
    <t>有限会社利府グリーン薬局</t>
  </si>
  <si>
    <t>きらら薬局</t>
  </si>
  <si>
    <t>調剤薬局ツルハドラッグ塩釜店</t>
  </si>
  <si>
    <t>まりも調剤薬局</t>
  </si>
  <si>
    <t>わかば薬局</t>
  </si>
  <si>
    <t>グリーン薬局</t>
  </si>
  <si>
    <t>塩竈調剤薬局</t>
  </si>
  <si>
    <t>アクト調剤薬局</t>
  </si>
  <si>
    <t>あかね薬局　塩釜店</t>
  </si>
  <si>
    <t>マリーン調剤薬局　本塩釜店</t>
  </si>
  <si>
    <t>宮町薬局</t>
  </si>
  <si>
    <t>銀河薬局　泉沢店</t>
  </si>
  <si>
    <t>ウエルシア薬局　本塩釜駅前店</t>
  </si>
  <si>
    <t>塩竈市海岸通11番1号</t>
  </si>
  <si>
    <t>クオール薬局　しおがま店</t>
  </si>
  <si>
    <t>塩竈市本町３番１９号</t>
  </si>
  <si>
    <t>つばさ薬局 玉川店</t>
  </si>
  <si>
    <t>つばさ薬局 松陽台店</t>
  </si>
  <si>
    <t>東塩釜調剤薬局</t>
  </si>
  <si>
    <t>黒川郡大和町吉岡まほろば一丁目７番地の８</t>
  </si>
  <si>
    <t>みうら調剤薬局　錦町店</t>
  </si>
  <si>
    <t>くまさん薬局　藤倉店</t>
  </si>
  <si>
    <t>株式会社南郷調剤薬局</t>
  </si>
  <si>
    <t>気仙沼市南郷５ー５</t>
  </si>
  <si>
    <t>かもめ薬局東新城店</t>
  </si>
  <si>
    <t>気仙沼市東新城　３ー１ー１</t>
  </si>
  <si>
    <t>有限会社グリーン薬局</t>
  </si>
  <si>
    <t>スズキ薬局</t>
  </si>
  <si>
    <t>気仙沼市田中前３ー７ー８</t>
  </si>
  <si>
    <t>にこにこ堂調剤薬局</t>
  </si>
  <si>
    <t>気仙沼市田中前４丁目４番５</t>
  </si>
  <si>
    <t>三峰調剤薬局</t>
  </si>
  <si>
    <t>八日町調剤薬局</t>
  </si>
  <si>
    <t>新城調剤薬局</t>
  </si>
  <si>
    <t>はしかみ調剤薬局</t>
  </si>
  <si>
    <t>気仙沼市長磯牧通９８番地１</t>
  </si>
  <si>
    <t>条南マリン薬局</t>
  </si>
  <si>
    <t>気仙沼市田中前二丁目４番地６</t>
  </si>
  <si>
    <t>中上薬局</t>
  </si>
  <si>
    <t>気仙沼市本吉町津谷松岡２６</t>
  </si>
  <si>
    <t>本吉調剤薬局</t>
  </si>
  <si>
    <t>有限会社オルセー薬局</t>
  </si>
  <si>
    <t>みなと薬局</t>
  </si>
  <si>
    <t>イオン薬局気仙沼店</t>
  </si>
  <si>
    <t>ししおり調剤薬局</t>
  </si>
  <si>
    <t>調剤薬局ツルハドラッグ気仙沼東新城店</t>
  </si>
  <si>
    <t>大島調剤薬局</t>
  </si>
  <si>
    <t>仙台調剤薬局気仙沼店</t>
  </si>
  <si>
    <t>共創未来　東しんじょう薬局</t>
  </si>
  <si>
    <t>気仙沼南調剤薬局</t>
  </si>
  <si>
    <t>田谷薬局</t>
  </si>
  <si>
    <t>カメイ調剤薬局　気仙沼店</t>
  </si>
  <si>
    <t>気仙沼市赤岩杉ノ沢9番地1</t>
  </si>
  <si>
    <t>カワチ薬局　気仙沼店</t>
  </si>
  <si>
    <t>気仙沼薬局いちご・とまと店</t>
  </si>
  <si>
    <t>共創未来気仙沼中央薬局</t>
  </si>
  <si>
    <t>気仙沼市田谷11番地12</t>
  </si>
  <si>
    <t>仙台調剤薬局　気仙沼大橋店</t>
  </si>
  <si>
    <t>ホープ薬局気仙沼店</t>
  </si>
  <si>
    <t>気仙沼三日町薬局</t>
  </si>
  <si>
    <t>調剤薬局ツルハドラッグ気仙沼上田中店</t>
  </si>
  <si>
    <t>二幸薬局</t>
  </si>
  <si>
    <t>白石市字沢目８</t>
  </si>
  <si>
    <t>有限会社菅野薬局</t>
  </si>
  <si>
    <t>白石市本町　９７</t>
  </si>
  <si>
    <t>サンコウ調剤薬局</t>
  </si>
  <si>
    <t>白石市字本町１１</t>
  </si>
  <si>
    <t>えんめい薬局</t>
  </si>
  <si>
    <t>白石市延命寺北　１０ー１０</t>
  </si>
  <si>
    <t>フレンド薬局白石</t>
  </si>
  <si>
    <t>白石市字長町５５ー１</t>
  </si>
  <si>
    <t>さんた薬局</t>
  </si>
  <si>
    <t>エルム調剤薬局白石店</t>
  </si>
  <si>
    <t>白石市城北町　４ー３２ー２</t>
  </si>
  <si>
    <t>伊新薬局</t>
  </si>
  <si>
    <t>白石市字長町２</t>
  </si>
  <si>
    <t>あさひ薬局</t>
  </si>
  <si>
    <t>みどり薬局刈田病院前店</t>
  </si>
  <si>
    <t>仙台調剤白石店</t>
  </si>
  <si>
    <t>みどり薬局城北店</t>
  </si>
  <si>
    <t>有限会社フレンド薬局</t>
  </si>
  <si>
    <t>フジ薬局白石店</t>
  </si>
  <si>
    <t>宮調剤薬局</t>
  </si>
  <si>
    <t>白石市福岡深谷字一本松１６</t>
  </si>
  <si>
    <t>うさぎ薬局</t>
  </si>
  <si>
    <t>調剤薬局ツルハドラッグ宮城白石店</t>
  </si>
  <si>
    <t>髙木薬局</t>
  </si>
  <si>
    <t>けやき薬局白石店</t>
  </si>
  <si>
    <t>リズム調剤薬局　白石蔵王店</t>
  </si>
  <si>
    <t>しろいし薬局</t>
  </si>
  <si>
    <t>有限会社なとり薬局</t>
  </si>
  <si>
    <t>センター薬局</t>
  </si>
  <si>
    <t>名取市下余田字鹿島10</t>
  </si>
  <si>
    <t>仙台調剤名取店</t>
  </si>
  <si>
    <t>名取市愛島塩手字下田　１１９ー４</t>
  </si>
  <si>
    <t>すばる調剤薬局名取店</t>
  </si>
  <si>
    <t>名取市杉ケ袋字前沖　２３８</t>
  </si>
  <si>
    <t>あすか調剤薬局</t>
  </si>
  <si>
    <t>名取市手倉田字八幡　３３８ー９</t>
  </si>
  <si>
    <t>ひかり薬局名取</t>
  </si>
  <si>
    <t>つくし薬局名取増田店</t>
  </si>
  <si>
    <t>なとり一中前薬局</t>
  </si>
  <si>
    <t>おやま調剤薬局</t>
  </si>
  <si>
    <t>フクロウ調剤薬局</t>
  </si>
  <si>
    <t>名取市杜せきのした１丁目８番地の２３</t>
  </si>
  <si>
    <t>愛の杜めぐみ薬局</t>
  </si>
  <si>
    <t>名取市杜せきのした５丁目３番地の１</t>
  </si>
  <si>
    <t>中央薬局</t>
  </si>
  <si>
    <t>仙台調剤薬局　せきのした店</t>
  </si>
  <si>
    <t>名取市杜せきのした２丁目６番地の８</t>
  </si>
  <si>
    <t>アイル薬局名取店</t>
  </si>
  <si>
    <t>さくら薬局　名取店</t>
  </si>
  <si>
    <t>サミー薬局りんくう店</t>
  </si>
  <si>
    <t>ルミル薬局名取店</t>
  </si>
  <si>
    <t>はこづか調剤薬局</t>
  </si>
  <si>
    <t>ベスト薬局</t>
  </si>
  <si>
    <t>めでしまの郷オレンジ薬局</t>
  </si>
  <si>
    <t>マリーン調剤薬局　館腰店</t>
  </si>
  <si>
    <t>クオール薬局名取店</t>
  </si>
  <si>
    <t>名取市上余田字吉原7</t>
  </si>
  <si>
    <t>アイン薬局　名取店</t>
  </si>
  <si>
    <t>アイン薬局　名取増田店</t>
  </si>
  <si>
    <t>増田調剤薬局</t>
  </si>
  <si>
    <t>仙台調剤薬局　美田園店</t>
  </si>
  <si>
    <t>クスリのアオキ美田園薬局</t>
  </si>
  <si>
    <t>名取市美田園七丁目１番地の１</t>
  </si>
  <si>
    <t>ウエルシア薬局　名取大手町店</t>
  </si>
  <si>
    <t>名取市大手町３番地２</t>
  </si>
  <si>
    <t>名取たこうオレンジ薬局</t>
  </si>
  <si>
    <t>名取調剤薬局</t>
  </si>
  <si>
    <t>イオン薬局名取店</t>
  </si>
  <si>
    <t>名取市杜せきのした５丁目３番地１</t>
  </si>
  <si>
    <t>アイン薬局名取美田園店</t>
  </si>
  <si>
    <t>すず薬局名取店</t>
  </si>
  <si>
    <t>ウエルシア薬局名取増田店</t>
  </si>
  <si>
    <t>調剤薬局ツルハドラッグ名取増田店</t>
  </si>
  <si>
    <t>くまの薬局</t>
  </si>
  <si>
    <t>名取市高舘熊野堂字岩口下４５番７号</t>
  </si>
  <si>
    <t>おおぞら薬局　名取店</t>
  </si>
  <si>
    <t>さくら薬局</t>
  </si>
  <si>
    <t>北町薬局</t>
  </si>
  <si>
    <t>角田市角田字牛舘　６４</t>
  </si>
  <si>
    <t>コスモ薬局</t>
  </si>
  <si>
    <t>角田市角田字町　２４６</t>
  </si>
  <si>
    <t>毛利薬局</t>
  </si>
  <si>
    <t>マリーン調剤薬局角田店</t>
  </si>
  <si>
    <t>南町薬局</t>
  </si>
  <si>
    <t>角田市角田字牛舘２０</t>
  </si>
  <si>
    <t>調剤薬局ツルハドラッグ角田中央店</t>
  </si>
  <si>
    <t>細川薬局</t>
  </si>
  <si>
    <t>角田市角田字町22</t>
  </si>
  <si>
    <t>くるみ薬局</t>
  </si>
  <si>
    <t>いずみ薬局</t>
  </si>
  <si>
    <t>角田市角田字田町１２３番地の６</t>
  </si>
  <si>
    <t>あるふぁ薬局　仙南病院前店</t>
  </si>
  <si>
    <t>かえで薬局　角田店</t>
  </si>
  <si>
    <t>角田市角田字牛舘５３</t>
  </si>
  <si>
    <t>株式会社三浦薬局</t>
  </si>
  <si>
    <t>多賀城市下馬　２ー７ー１</t>
  </si>
  <si>
    <t>あやめ調剤薬局</t>
  </si>
  <si>
    <t>多賀城市鶴ケ谷　２ー１９ー２０</t>
  </si>
  <si>
    <t>すずらん調剤薬局</t>
  </si>
  <si>
    <t>ひまわり薬局</t>
  </si>
  <si>
    <t>すばる調剤薬局高崎店</t>
  </si>
  <si>
    <t>多賀城市高崎　３ー２６ー１ヒルトップ　１０７</t>
  </si>
  <si>
    <t>ゆうやけ調剤薬局</t>
  </si>
  <si>
    <t>調剤薬局ツルハドラッグ多賀城店</t>
  </si>
  <si>
    <t>多賀城市高橋４ー４ー１</t>
  </si>
  <si>
    <t>リフレ薬局多賀城店</t>
  </si>
  <si>
    <t>アトラス調剤薬局</t>
  </si>
  <si>
    <t>たかはし中央薬局</t>
  </si>
  <si>
    <t>桜木薬局</t>
  </si>
  <si>
    <t>イオン薬局多賀城店</t>
  </si>
  <si>
    <t>多賀城調剤薬局</t>
  </si>
  <si>
    <t>みうら薬局八幡店</t>
  </si>
  <si>
    <t>仙台調剤薬局　多賀城店</t>
  </si>
  <si>
    <t>リフレ薬局　城南店</t>
  </si>
  <si>
    <t>アイセイ薬局多賀城山王店</t>
  </si>
  <si>
    <t>アムズ調剤薬局多賀城店</t>
  </si>
  <si>
    <t>多賀城市東田中　２ー４０ー３２ーG１０６</t>
  </si>
  <si>
    <t>ｸﾛｰﾊﾞｰ調剤薬局</t>
  </si>
  <si>
    <t>ひかり薬局東田中</t>
  </si>
  <si>
    <t>多賀城市東田中字志引85番地の１</t>
  </si>
  <si>
    <t>つばさ薬局</t>
  </si>
  <si>
    <t>カワチ薬局　多賀城店</t>
  </si>
  <si>
    <t>たかはし二丁目薬局</t>
  </si>
  <si>
    <t>ヤマザワ調剤薬局多賀城店</t>
  </si>
  <si>
    <t>アイベル薬局　多賀城店</t>
  </si>
  <si>
    <t>多賀城市城南１丁目１１番４３号</t>
  </si>
  <si>
    <t>多賀城市町前四丁目１番１号</t>
  </si>
  <si>
    <t>リフレ薬局　笠神店</t>
  </si>
  <si>
    <t>調剤薬局ツルハドラッグ多賀城中央店</t>
  </si>
  <si>
    <t>多賀城市中央３丁目６番１号</t>
  </si>
  <si>
    <t>合資会社せきや薬局</t>
  </si>
  <si>
    <t>岩沼市中央　１ー２ー１５</t>
  </si>
  <si>
    <t>末広調剤薬局</t>
  </si>
  <si>
    <t>有限会社サン薬局</t>
  </si>
  <si>
    <t>岩沼市中央　１ー４ー１１</t>
  </si>
  <si>
    <t>岩沼市桜　４ー５ー９</t>
  </si>
  <si>
    <t>武隈調剤薬局</t>
  </si>
  <si>
    <t>いわぬま中央薬局</t>
  </si>
  <si>
    <t>おやま薬局</t>
  </si>
  <si>
    <t>いわぬま西調剤薬局</t>
  </si>
  <si>
    <t>調剤薬局いわぬま</t>
  </si>
  <si>
    <t>杜の都調剤薬局</t>
  </si>
  <si>
    <t>共創未来　玉浦薬局</t>
  </si>
  <si>
    <t>カワチ薬局岩沼店</t>
  </si>
  <si>
    <t>あいあい薬局</t>
  </si>
  <si>
    <t>アイン薬局　岩沼店</t>
  </si>
  <si>
    <t>うさぎ森薬局　岩沼店</t>
  </si>
  <si>
    <t>クオール薬局 岩沼西店</t>
  </si>
  <si>
    <t>クオール薬局岩沼東店</t>
  </si>
  <si>
    <t>クオール薬局　岩沼あさひ野店</t>
  </si>
  <si>
    <t>おやま薬局２号店</t>
  </si>
  <si>
    <t>クスリのアオキ二木薬局</t>
  </si>
  <si>
    <t>ウエルシア薬局　岩沼中央店</t>
  </si>
  <si>
    <t>クスリのアオキ藤浪薬局</t>
  </si>
  <si>
    <t>カメイ調剤薬局　岩沼店</t>
  </si>
  <si>
    <t>調剤薬局ツルハドラッグ岩沼中央店</t>
  </si>
  <si>
    <t>岩沼市中央２丁目５番２２号</t>
  </si>
  <si>
    <t>ひかり薬局岩沼</t>
  </si>
  <si>
    <t>おおぞら薬局　桜店</t>
  </si>
  <si>
    <t>ひかり薬局佐沼</t>
  </si>
  <si>
    <t>登米市迫町佐沼字中江３ー１ー９</t>
  </si>
  <si>
    <t>おおあみ薬局</t>
  </si>
  <si>
    <t>かがの調剤薬局</t>
  </si>
  <si>
    <t>登米市中田町石森字加賀野　２ー５ー２７</t>
  </si>
  <si>
    <t>おあしす調剤薬局</t>
  </si>
  <si>
    <t>つやま薬局</t>
  </si>
  <si>
    <t>登米市津山町柳津字幣崎４２６</t>
  </si>
  <si>
    <t>よねかわ薬局</t>
  </si>
  <si>
    <t>登米市東和町米川字四十田２８</t>
  </si>
  <si>
    <t>日本調剤佐沼薬局</t>
  </si>
  <si>
    <t>仙台調剤薬局佐沼店</t>
  </si>
  <si>
    <t>いしん調剤薬局</t>
  </si>
  <si>
    <t>石越調剤薬局</t>
  </si>
  <si>
    <t>登米市石越町南郷字小谷地前１４０</t>
  </si>
  <si>
    <t>とめ調剤薬局</t>
  </si>
  <si>
    <t>登米市迫町佐沼字錦31</t>
  </si>
  <si>
    <t>南方あやめ薬局</t>
  </si>
  <si>
    <t>まつい調剤薬局</t>
  </si>
  <si>
    <t>カクマン薬局</t>
  </si>
  <si>
    <t>さくら薬局登米佐沼店</t>
  </si>
  <si>
    <t>アイン薬局　豊里店</t>
  </si>
  <si>
    <t>登米市豊里町小口前37番地3</t>
  </si>
  <si>
    <t>光ヶ丘調剤薬局</t>
  </si>
  <si>
    <t>とよま薬局</t>
  </si>
  <si>
    <t>登米市登米町日野渡内ノ目329番2</t>
  </si>
  <si>
    <t>クオール薬局豊里店</t>
  </si>
  <si>
    <t>仙台調剤薬局　米谷店</t>
  </si>
  <si>
    <t>登米市東和町米谷字元町182番1</t>
  </si>
  <si>
    <t>さくら薬局　登米まいや店</t>
  </si>
  <si>
    <t>登米市東和町米谷字元町185番地2</t>
  </si>
  <si>
    <t>tumugu薬局</t>
  </si>
  <si>
    <t>ウジエ調剤薬局　登米店</t>
  </si>
  <si>
    <t>調剤薬局ツルハドラッグ佐沼店</t>
  </si>
  <si>
    <t>きずな薬局　とよま</t>
  </si>
  <si>
    <t>アイン薬局　米山店</t>
  </si>
  <si>
    <t>アイン薬局　佐沼店</t>
  </si>
  <si>
    <t>ウジエ調剤薬局　佐沼店</t>
  </si>
  <si>
    <t>東町調剤薬局</t>
  </si>
  <si>
    <t>仙台調剤栗原店</t>
  </si>
  <si>
    <t>青葉の杜薬局　築館店</t>
  </si>
  <si>
    <t>恵薬局</t>
  </si>
  <si>
    <t>サデン調剤薬局</t>
  </si>
  <si>
    <t>サデン薬局</t>
  </si>
  <si>
    <t>栗原市若柳字川北中町３５</t>
  </si>
  <si>
    <t>合資会社鈴木薬局</t>
  </si>
  <si>
    <t>栗原市栗駒岩ケ崎六日町　１１６</t>
  </si>
  <si>
    <t>一桝新生薬局介護調剤センター</t>
  </si>
  <si>
    <t>一桝新生薬局</t>
  </si>
  <si>
    <t>一迫薬局</t>
  </si>
  <si>
    <t>栗原市一迫真坂字清水町田　１５ー１</t>
  </si>
  <si>
    <t>沢辺本多薬局</t>
  </si>
  <si>
    <t>栗原市金成沢辺町　５０</t>
  </si>
  <si>
    <t>ありかべ調剤薬局</t>
  </si>
  <si>
    <t>ヨネキ薬局築館店</t>
  </si>
  <si>
    <t>若柳中央薬局</t>
  </si>
  <si>
    <t>サタケ調剤薬局</t>
  </si>
  <si>
    <t>栗原市栗駒岩ケ崎円鏡寺後１０４番地６</t>
  </si>
  <si>
    <t>サトウ調剤薬局</t>
  </si>
  <si>
    <t>しぶや薬局</t>
  </si>
  <si>
    <t>サン調剤薬局</t>
  </si>
  <si>
    <t>ななほし薬局</t>
  </si>
  <si>
    <t>栗原市若柳字川北中町１８</t>
  </si>
  <si>
    <t>薬師調剤薬局</t>
  </si>
  <si>
    <t>栗原市築館薬師　３ー１ー２１</t>
  </si>
  <si>
    <t>すず薬局　高清水店</t>
  </si>
  <si>
    <t>志波姫調剤薬局</t>
  </si>
  <si>
    <t>栗原市志波姫新沼崎12番2号</t>
  </si>
  <si>
    <t>せみね調剤薬局</t>
  </si>
  <si>
    <t>しぶや薬局　宮野中央店</t>
  </si>
  <si>
    <t>アイン薬局　築館店</t>
  </si>
  <si>
    <t>マリーン調剤薬局　志波姫店</t>
  </si>
  <si>
    <t>栗原市一迫真坂字町東30番地2</t>
  </si>
  <si>
    <t>さくら薬局瀬峰店</t>
  </si>
  <si>
    <t>さくら薬局　鶯沢店</t>
  </si>
  <si>
    <t>らふらんす薬局　若柳店</t>
  </si>
  <si>
    <t>栗原市若柳字川南堤通１９番２１</t>
  </si>
  <si>
    <t>日本調剤　くりはら薬局</t>
  </si>
  <si>
    <t>アベイル薬局　築館店</t>
  </si>
  <si>
    <t>栗原市築館伊豆1丁目8番6号</t>
  </si>
  <si>
    <t>ひまわり調剤薬局</t>
  </si>
  <si>
    <t>東松島市矢本字南浦　３０</t>
  </si>
  <si>
    <t>たかぎ薬局赤井店</t>
  </si>
  <si>
    <t>東松島市赤井字鷲塚　５９ー１９</t>
  </si>
  <si>
    <t>東松島市矢本字鹿石前　１０３ー３</t>
  </si>
  <si>
    <t>和（のどか）薬局</t>
  </si>
  <si>
    <t>みっと調剤薬局</t>
  </si>
  <si>
    <t>調剤薬局くりっぷ</t>
  </si>
  <si>
    <t>株式会社こぐま薬局</t>
  </si>
  <si>
    <t>ハーブ調剤薬局東松島店</t>
  </si>
  <si>
    <t>ひかり薬局矢本</t>
  </si>
  <si>
    <t>フロンティア薬局矢本店</t>
  </si>
  <si>
    <t>ファーマライズ薬局　のびるが丘店</t>
  </si>
  <si>
    <t>ひかり薬局野蒜ヶ丘</t>
  </si>
  <si>
    <t>東松島市野蒜ヶ丘三丁目２９番６</t>
  </si>
  <si>
    <t>ツルハドラッグイオンタウン矢本調剤薬局</t>
  </si>
  <si>
    <t>東松島市小松字谷地208他</t>
  </si>
  <si>
    <t>東まつしま薬局</t>
  </si>
  <si>
    <t>東松島市赤井字川前４番１ー７</t>
  </si>
  <si>
    <t>アイン薬局　東松島店</t>
  </si>
  <si>
    <t>エヌ・ワイやもと薬局</t>
  </si>
  <si>
    <t>東松島市矢本字大溜３４７番地</t>
  </si>
  <si>
    <t>ウジエ調剤薬局　矢本店</t>
  </si>
  <si>
    <t>ウジエ調剤薬局　赤井駅前店</t>
  </si>
  <si>
    <t>アップル調剤薬局</t>
  </si>
  <si>
    <t>大崎市古川南町　４ー１ー２８</t>
  </si>
  <si>
    <t>宮城調剤薬局古川駅前店</t>
  </si>
  <si>
    <t>南町調剤薬局</t>
  </si>
  <si>
    <t>佐々木薬局市民病院前</t>
  </si>
  <si>
    <t>ヨネキ薬局　穂波店</t>
  </si>
  <si>
    <t>みなみ薬局</t>
  </si>
  <si>
    <t>ひかり薬局古川</t>
  </si>
  <si>
    <t>正明薬局調剤センター</t>
  </si>
  <si>
    <t>ヨネキ薬局本店</t>
  </si>
  <si>
    <t>ヨネキ薬局古川バイパス店</t>
  </si>
  <si>
    <t>大崎市古川城西　２ー７ー４３</t>
  </si>
  <si>
    <t>古川青葉調剤薬局</t>
  </si>
  <si>
    <t>大崎調剤薬局　大宮店</t>
  </si>
  <si>
    <t>古川調剤薬局</t>
  </si>
  <si>
    <t>カワチ薬局古川店</t>
  </si>
  <si>
    <t>大崎調剤薬局古川駅前店</t>
  </si>
  <si>
    <t>有限会社ひまわり薬局南町店</t>
  </si>
  <si>
    <t>かしまだい調剤薬局</t>
  </si>
  <si>
    <t>仙台調剤薬局鹿島台店</t>
  </si>
  <si>
    <t>有限会社イシン薬局</t>
  </si>
  <si>
    <t>大崎市岩出山字下川原町７３</t>
  </si>
  <si>
    <t>大沼薬局</t>
  </si>
  <si>
    <t>大崎市鳴子温泉字湯元９８</t>
  </si>
  <si>
    <t>鳴子調剤薬局</t>
  </si>
  <si>
    <t>有限会社タジリ薬局</t>
  </si>
  <si>
    <t>有限会社薬局田尻ファーマシー</t>
  </si>
  <si>
    <t>大崎市田尻字太子堂　１ー１</t>
  </si>
  <si>
    <t>ほなみ薬局</t>
  </si>
  <si>
    <t>まつやま調剤薬局</t>
  </si>
  <si>
    <t>薬王堂薬局宮城鹿島台店</t>
  </si>
  <si>
    <t>大崎調剤薬局古川南店</t>
  </si>
  <si>
    <t>西古川調剤薬局</t>
  </si>
  <si>
    <t>大崎市古川新田字川原前２９７</t>
  </si>
  <si>
    <t>ホープ薬局大崎西店</t>
  </si>
  <si>
    <t>大崎調剤薬局　古川東店</t>
  </si>
  <si>
    <t>なの花薬局たじり店</t>
  </si>
  <si>
    <t>クラフト薬局三日町店</t>
  </si>
  <si>
    <t>仙台調剤薬局古川店</t>
  </si>
  <si>
    <t>クラーク薬局</t>
  </si>
  <si>
    <t>大崎市松山千石字広田３５</t>
  </si>
  <si>
    <t>鹿島台中央薬局</t>
  </si>
  <si>
    <t>大崎市鹿島台平渡字巳待田４２４番１１</t>
  </si>
  <si>
    <t>イオン薬局古川店</t>
  </si>
  <si>
    <t>みどり薬局</t>
  </si>
  <si>
    <t>中川薬局　岩出山店</t>
  </si>
  <si>
    <t>大崎市岩出山字下川原町８４番３１</t>
  </si>
  <si>
    <t>東北薬局大崎</t>
  </si>
  <si>
    <t>ひかり薬局大崎市民病院前</t>
  </si>
  <si>
    <t>仙台調剤薬局　大崎店</t>
  </si>
  <si>
    <t>さくら橋薬局調剤センター</t>
  </si>
  <si>
    <t>調剤薬局ツルハドラッグ古川南店</t>
  </si>
  <si>
    <t>なかじま薬局</t>
  </si>
  <si>
    <t>古川調剤薬局　鹿島台店</t>
  </si>
  <si>
    <t>松山中央調剤薬局</t>
  </si>
  <si>
    <t>アイン薬局　古川店</t>
  </si>
  <si>
    <t>大崎市古川穂波三丁目8番51号</t>
  </si>
  <si>
    <t>ツルミヤ薬局</t>
  </si>
  <si>
    <t>大崎市岩出山字二ノ構１０７</t>
  </si>
  <si>
    <t>はぎ調剤薬局</t>
  </si>
  <si>
    <t>カワチ薬局　古川駅東店</t>
  </si>
  <si>
    <t>アイフレンド薬局穂波</t>
  </si>
  <si>
    <t>大崎市古川穂波三丁目7番7号</t>
  </si>
  <si>
    <t>おおさき南調剤薬局</t>
  </si>
  <si>
    <t>クオール薬局岩出山店</t>
  </si>
  <si>
    <t>大崎調剤薬局 駅南店</t>
  </si>
  <si>
    <t>つばさ薬局 古川店</t>
  </si>
  <si>
    <t>大崎市古川南町三丁目１番５号</t>
  </si>
  <si>
    <t>正明薬局三日町店</t>
  </si>
  <si>
    <t>大崎市古川三日町１丁目３番２３号</t>
  </si>
  <si>
    <t>古川調剤薬局　駅東店</t>
  </si>
  <si>
    <t>大崎市古川駅南1丁目10</t>
  </si>
  <si>
    <t>クスリのアオキ古川江合薬局</t>
  </si>
  <si>
    <t>ウジエ調剤薬局大宮店</t>
  </si>
  <si>
    <t>古川東町調剤薬局</t>
  </si>
  <si>
    <t>大崎市古川東町１番２２号</t>
  </si>
  <si>
    <t>ウエルシア薬局　古川中里店</t>
  </si>
  <si>
    <t>大崎市古川中里二丁目７番１号</t>
  </si>
  <si>
    <t>クスリのアオキ古川駅東薬局</t>
  </si>
  <si>
    <t>大崎市古川駅東二丁目４番３５号</t>
  </si>
  <si>
    <t>クスリのアオキ古川稲葉薬局</t>
  </si>
  <si>
    <t>大崎市古川稲葉三丁目７番６号</t>
  </si>
  <si>
    <t>大崎市古川旭二丁目２番１号</t>
  </si>
  <si>
    <t>薬局アリエス大宮店</t>
  </si>
  <si>
    <t>十日町調剤薬局</t>
  </si>
  <si>
    <t>フレンド薬局　古川中里</t>
  </si>
  <si>
    <t>薬局アリエス三本木店</t>
  </si>
  <si>
    <t>ウジエ調剤薬局　古川店</t>
  </si>
  <si>
    <t>アイベル薬局　古川店</t>
  </si>
  <si>
    <t>マリーン調剤薬局　新富谷店</t>
  </si>
  <si>
    <t>リフレ薬局上桜木店</t>
  </si>
  <si>
    <t>サンテ薬局日吉台店</t>
  </si>
  <si>
    <t>マリーン調剤薬局　上桜木店</t>
  </si>
  <si>
    <t>明石台薬局</t>
  </si>
  <si>
    <t>おれんじ薬局</t>
  </si>
  <si>
    <t>アイセイ薬局明石台店</t>
  </si>
  <si>
    <t>調剤薬局ココロエル</t>
  </si>
  <si>
    <t>コストコホールセール富谷倉庫店薬局</t>
  </si>
  <si>
    <t>富谷市高屋敷２６</t>
  </si>
  <si>
    <t>とみや調剤薬局</t>
  </si>
  <si>
    <t>三ッ星薬局　AKAISHIDAI</t>
  </si>
  <si>
    <t>きずな薬局　富ケ丘</t>
  </si>
  <si>
    <t>富谷市富ケ丘二丁目１１番４５号</t>
  </si>
  <si>
    <t>プロテア薬局たいとみ店</t>
  </si>
  <si>
    <t>カワチ薬局　富谷店</t>
  </si>
  <si>
    <t>イオン薬局富谷店</t>
  </si>
  <si>
    <t>ヤマザワ調剤薬局富谷成田店</t>
  </si>
  <si>
    <t>ヨツメヤ薬局</t>
  </si>
  <si>
    <t>刈田郡蔵王町宮字町　３４</t>
  </si>
  <si>
    <t>にしうら薬局</t>
  </si>
  <si>
    <t>刈田郡蔵王町宮字西裏　９</t>
  </si>
  <si>
    <t>ひがし薬局七ヶ宿</t>
  </si>
  <si>
    <t>ヨツメヤ薬局鳥井先店</t>
  </si>
  <si>
    <t>蔵王ヘルスマート薬局</t>
  </si>
  <si>
    <t>アイン薬局　蔵王店</t>
  </si>
  <si>
    <t>刈田郡蔵王町大字円田字和田138番３号</t>
  </si>
  <si>
    <t>刈田郡七ヶ宿町字関１８４番地１</t>
  </si>
  <si>
    <t>株式会社銀座薬局</t>
  </si>
  <si>
    <t>村上薬局</t>
  </si>
  <si>
    <t>柴田郡村田町村田字西４２</t>
  </si>
  <si>
    <t>もみの木薬局</t>
  </si>
  <si>
    <t>つばさ薬局船岡店</t>
  </si>
  <si>
    <t>すずらん薬局</t>
  </si>
  <si>
    <t>柴田郡柴田町船岡中央　２ー５ー１５</t>
  </si>
  <si>
    <t>船岡調剤薬局</t>
  </si>
  <si>
    <t>有限会社大槻薬局東新町店</t>
  </si>
  <si>
    <t>柴田郡大河原町字東新町１０ー１１</t>
  </si>
  <si>
    <t>大河原調剤薬局</t>
  </si>
  <si>
    <t>仙台調剤　大河原店</t>
  </si>
  <si>
    <t>柴田郡大河原町住吉町９ー７</t>
  </si>
  <si>
    <t>かみまち薬局</t>
  </si>
  <si>
    <t>アイランド薬局大河原店</t>
  </si>
  <si>
    <t>仙台調剤薬局大河原西店</t>
  </si>
  <si>
    <t>カメイ調剤薬局大河原店</t>
  </si>
  <si>
    <t>川崎薬局</t>
  </si>
  <si>
    <t>あおば薬局</t>
  </si>
  <si>
    <t>カメイ調剤薬局川崎店</t>
  </si>
  <si>
    <t>甲子調剤薬局</t>
  </si>
  <si>
    <t>槻木中央薬局</t>
  </si>
  <si>
    <t>柴田オレンジ薬局</t>
  </si>
  <si>
    <t>しんえい薬局</t>
  </si>
  <si>
    <t>３１０（さとう）調剤薬局</t>
  </si>
  <si>
    <t>ペガサス薬局大河原店</t>
  </si>
  <si>
    <t>やすらぎ調剤薬局</t>
  </si>
  <si>
    <t>つきのき駅西薬局</t>
  </si>
  <si>
    <t>こひつじ薬局</t>
  </si>
  <si>
    <t>船迫調剤薬局</t>
  </si>
  <si>
    <t>こうめ薬局</t>
  </si>
  <si>
    <t>つきのき駅南薬局</t>
  </si>
  <si>
    <t>セイナ調剤薬局</t>
  </si>
  <si>
    <t>柴田郡大河原町70番地4</t>
  </si>
  <si>
    <t>（株）調剤薬局アウル</t>
  </si>
  <si>
    <t>アイベル薬局　大河原店</t>
  </si>
  <si>
    <t>リーフ調剤薬局</t>
  </si>
  <si>
    <t>ウエルシア薬局　船岡中央店</t>
  </si>
  <si>
    <t>カメイ調剤薬局　村田店</t>
  </si>
  <si>
    <t>カメイ調剤薬局　船岡店</t>
  </si>
  <si>
    <t>クスリのアオキ大河原薬局</t>
  </si>
  <si>
    <t>カワチ薬局　大河原店</t>
  </si>
  <si>
    <t>奥羽調剤薬局大河原店</t>
  </si>
  <si>
    <t>クスリのアオキ船迫薬局</t>
  </si>
  <si>
    <t>柴田郡柴田町西船迫二丁目８番地７</t>
  </si>
  <si>
    <t>アイン薬局　村田店</t>
  </si>
  <si>
    <t>柴田郡村田町大字村田字反町８２番１</t>
  </si>
  <si>
    <t>サイカ調剤薬局丸森病院前店</t>
  </si>
  <si>
    <t>丸森調剤薬局病院前店</t>
  </si>
  <si>
    <t>サイカ調剤薬局大舘店</t>
  </si>
  <si>
    <t>伊具郡丸森町字大舘３丁目１０９</t>
  </si>
  <si>
    <t>もみのき薬局</t>
  </si>
  <si>
    <t>亘理郡亘理町逢隈中泉字中　１２３ー１</t>
  </si>
  <si>
    <t>亘理郡山元町山寺字山下　４１</t>
  </si>
  <si>
    <t>調剤薬局エーゲ海</t>
  </si>
  <si>
    <t>城南薬局</t>
  </si>
  <si>
    <t>亘理郡亘理町舘南　８５ー１７</t>
  </si>
  <si>
    <t>フレンド薬局吉田</t>
  </si>
  <si>
    <t>亘理郡亘理町吉田字松崎　６７</t>
  </si>
  <si>
    <t>森薬局</t>
  </si>
  <si>
    <t>亘理郡山元町坂元字町　５６</t>
  </si>
  <si>
    <t>いとう薬局亘理店</t>
  </si>
  <si>
    <t>有限会社さざんか薬局</t>
  </si>
  <si>
    <t>わたり調剤薬局</t>
  </si>
  <si>
    <t>クラウド調剤薬局　亘理店</t>
  </si>
  <si>
    <t>亘理郡亘理町五日町１９</t>
  </si>
  <si>
    <t>つばめ薬局</t>
  </si>
  <si>
    <t>宮城調剤薬局　亘理店</t>
  </si>
  <si>
    <t>亘理郡亘理町字旧舘30番地の1</t>
  </si>
  <si>
    <t>アイン薬局　亘理店</t>
  </si>
  <si>
    <t>アイン薬局　亘理山元店</t>
  </si>
  <si>
    <t>たかぎ薬局</t>
  </si>
  <si>
    <t>エム薬局</t>
  </si>
  <si>
    <t>宮城郡利府町中央　２ー８ー１</t>
  </si>
  <si>
    <t>ヤマザワ調剤薬局利府店</t>
  </si>
  <si>
    <t>宮城郡利府町花園　１ー２１８ー４</t>
  </si>
  <si>
    <t>つばさ薬局松島店</t>
  </si>
  <si>
    <t>カメイ調剤薬局松島店</t>
  </si>
  <si>
    <t>宮城郡松島町高城字浜１番６８</t>
  </si>
  <si>
    <t>ウジエ調剤薬局　利府店</t>
  </si>
  <si>
    <t>プラス調剤薬局七ヶ浜店</t>
  </si>
  <si>
    <t>調剤薬局ツルハドラッグ利府店</t>
  </si>
  <si>
    <t>汐見調剤薬局</t>
  </si>
  <si>
    <t>ヤマザワ調剤薬局　仙塩利府病院前店</t>
  </si>
  <si>
    <t>宮城郡利府町青葉台２丁目２番１１０</t>
  </si>
  <si>
    <t>タカラ調剤薬局加瀬沼店</t>
  </si>
  <si>
    <t>マリーン調剤薬局　仙塩利府病院前</t>
  </si>
  <si>
    <t>しらかし台薬局</t>
  </si>
  <si>
    <t>まごころ調剤薬局　松島店</t>
  </si>
  <si>
    <t>宮城郡松島町高城字町62番地3</t>
  </si>
  <si>
    <t>ウエルシア薬局　利府青山店</t>
  </si>
  <si>
    <t>宮城郡利府町青山二丁目１番地９</t>
  </si>
  <si>
    <t>イオン薬局イオンスタイル新利府</t>
  </si>
  <si>
    <t>ウエルシア薬局　イオンモール新利府　北館店</t>
  </si>
  <si>
    <t>宮城郡利府町利府字新屋田前２２イオンモール新利府　北館　１階</t>
  </si>
  <si>
    <t>りふ調剤薬局</t>
  </si>
  <si>
    <t>仙台調剤薬局　利府店</t>
  </si>
  <si>
    <t>しんりふ調剤薬局</t>
  </si>
  <si>
    <t>宮城郡利府町利府字新屋田前２２イオンモール新利府北館２階</t>
  </si>
  <si>
    <t>アイン薬局利府店</t>
  </si>
  <si>
    <t>薬局　はまかぜ</t>
  </si>
  <si>
    <t>宮城郡七ヶ浜町湊浜字升形４２番地５</t>
  </si>
  <si>
    <t>ヨネキ薬局吉岡ヨークベニマル店</t>
  </si>
  <si>
    <t>黒川郡大和町吉岡東１ー２ー１</t>
  </si>
  <si>
    <t>こうの調剤薬局</t>
  </si>
  <si>
    <t>黒川郡大和町吉岡字上町７２ー２</t>
  </si>
  <si>
    <t>東薬局</t>
  </si>
  <si>
    <t>黒川郡大和町吉岡東　２ー９ー９</t>
  </si>
  <si>
    <t>黒川郡大和町吉岡字下町２</t>
  </si>
  <si>
    <t>もみじケ丘薬局</t>
  </si>
  <si>
    <t>黒川郡大和町もみじケ丘　１ー９ー６</t>
  </si>
  <si>
    <t>ウィズ薬局</t>
  </si>
  <si>
    <t>アイン薬局　吉岡店</t>
  </si>
  <si>
    <t>黒川郡大和町吉岡まほろば一丁目5番地の3</t>
  </si>
  <si>
    <t>吉岡調剤薬局</t>
  </si>
  <si>
    <t>早坂薬局</t>
  </si>
  <si>
    <t>たいわ調剤薬局</t>
  </si>
  <si>
    <t>クスリのアオキ大和吉岡薬局</t>
  </si>
  <si>
    <t>黒川郡大和町吉岡まほろば二丁目１番地の３</t>
  </si>
  <si>
    <t>調剤薬局ツルハドラッグ大和吉岡店</t>
  </si>
  <si>
    <t>黒川郡大和町吉岡まほろば一丁目４番地の７</t>
  </si>
  <si>
    <t>ヤマザワ調剤薬局杜のまち店</t>
  </si>
  <si>
    <t>アベイル薬局　しあわせの杜店</t>
  </si>
  <si>
    <t>アイベル薬局　吉岡店</t>
  </si>
  <si>
    <t>薬局　１０６</t>
  </si>
  <si>
    <t>はまなす薬局</t>
  </si>
  <si>
    <t>加美郡加美町字北町二番１８５ー２</t>
  </si>
  <si>
    <t>古川調剤薬局小野田店</t>
  </si>
  <si>
    <t>ささき薬局</t>
  </si>
  <si>
    <t>なの花薬局</t>
  </si>
  <si>
    <t>さくら薬局　加美色麻店</t>
  </si>
  <si>
    <t>タチバナ調剤薬局</t>
  </si>
  <si>
    <t>ひので薬局</t>
  </si>
  <si>
    <t>つばさ薬局 中新田店</t>
  </si>
  <si>
    <t>古川調剤薬局　宮崎店</t>
  </si>
  <si>
    <t>調剤薬局ツルハドラッグ宮城色麻店</t>
  </si>
  <si>
    <t>加美郡加美町字町屋敷二番１２</t>
  </si>
  <si>
    <t>有限会社小牛田薬局駅前店</t>
  </si>
  <si>
    <t>遠田郡美里町字藤ケ崎町　８６</t>
  </si>
  <si>
    <t>わくや調剤薬局</t>
  </si>
  <si>
    <t>なんごう薬局</t>
  </si>
  <si>
    <t>あすか薬局</t>
  </si>
  <si>
    <t>遠田郡涌谷町字下道６４</t>
  </si>
  <si>
    <t>うさぎ野薬局</t>
  </si>
  <si>
    <t>株式会社アサヒ薬局　南郷店</t>
  </si>
  <si>
    <t>山の神調剤薬局</t>
  </si>
  <si>
    <t>大崎調剤薬局　美里店</t>
  </si>
  <si>
    <t>みさとまち調剤薬局</t>
  </si>
  <si>
    <t>えがお薬局</t>
  </si>
  <si>
    <t>ウジエ調剤薬局　涌谷店</t>
  </si>
  <si>
    <t>有限会社うたつ薬局</t>
  </si>
  <si>
    <t>こさか調剤薬局</t>
  </si>
  <si>
    <t>なでしこ薬局ますざわ</t>
  </si>
  <si>
    <t>一般社団法人気仙沼薬剤師会会営志津川薬局</t>
  </si>
  <si>
    <t>本田薬局</t>
  </si>
  <si>
    <t>ヤマイチ薬局</t>
  </si>
  <si>
    <t>仁明会訪問リハビリステーション山下</t>
  </si>
  <si>
    <t>医療法人社団健育会ひまわり訪問看護ステーション</t>
  </si>
  <si>
    <t>仁明会訪問看護ステーション青葉</t>
  </si>
  <si>
    <t>石巻市門脇字一番谷地５７番地の１８</t>
  </si>
  <si>
    <t>訪問看護ステーションふかや</t>
  </si>
  <si>
    <t>石巻市広渕字焼巻２番地</t>
  </si>
  <si>
    <t>ぷりけあ訪問看護ステーション</t>
  </si>
  <si>
    <t>セントケア訪問看護ステーション石巻あけぼの</t>
  </si>
  <si>
    <t>あん暖手ナースステーション</t>
  </si>
  <si>
    <t>祐訪問看護ステーション石巻</t>
  </si>
  <si>
    <t>石巻市大橋３丁目１０番地４</t>
  </si>
  <si>
    <t>セントケア看護小規模石巻丸井戸</t>
  </si>
  <si>
    <t>訪問看護ステーション火の鳥</t>
  </si>
  <si>
    <t>石巻市小船越字堤下６６</t>
  </si>
  <si>
    <t>公益財団法人宮城厚生協会ケアステーションしおかぜ</t>
  </si>
  <si>
    <t>塩釜医師会訪問看護ステーション</t>
  </si>
  <si>
    <t>塩竈市錦町７番１０号</t>
  </si>
  <si>
    <t>悠泉訪問看護事業所</t>
  </si>
  <si>
    <t>塩竃市新浜町２丁目１番３号</t>
  </si>
  <si>
    <t>護療舎訪問看護ステーション</t>
  </si>
  <si>
    <t>ひばり訪問看護ステーション塩釜</t>
  </si>
  <si>
    <t>社会福祉法人キングスガーデン宮城　南三陸訪問看護ステーション</t>
  </si>
  <si>
    <t>訪問看護ステーション春圃</t>
  </si>
  <si>
    <t>訪問看護ステーションあした　気仙沼ステーション</t>
  </si>
  <si>
    <t>気仙沼訪問看護ステーション</t>
  </si>
  <si>
    <t>白石市医師会訪問看護ステーション</t>
  </si>
  <si>
    <t>白石市大手町１番１号健康センター内</t>
  </si>
  <si>
    <t>訪問看護ステーション　リズム白石蔵王</t>
  </si>
  <si>
    <t>プラチナ訪問看護ステーション</t>
  </si>
  <si>
    <t>あすなろ訪問看護ステーション</t>
  </si>
  <si>
    <t>訪問看護ステーションすぽっと</t>
  </si>
  <si>
    <t>名取市植松一丁目４番１０号</t>
  </si>
  <si>
    <t>宮城県立精神医療センター訪問看護ステーションゆとり</t>
  </si>
  <si>
    <t>名取市手倉田字堰根356番地</t>
  </si>
  <si>
    <t>訪問看護ステーションあかり</t>
  </si>
  <si>
    <t>エムツー訪問看護ステーションらふる名取</t>
  </si>
  <si>
    <t>訪問看護ステーションあやめ名取</t>
  </si>
  <si>
    <t>訪問看護ステーションまごころ</t>
  </si>
  <si>
    <t>リニエ訪問看護ステーション名取</t>
  </si>
  <si>
    <t>訪問看護ステーション金上</t>
  </si>
  <si>
    <t>角田市角田字中島上１８３</t>
  </si>
  <si>
    <t>訪問看護ステーション夢眠たがじょう</t>
  </si>
  <si>
    <t>公益財団法人宮城厚生協会　ケアステーションつくし</t>
  </si>
  <si>
    <t>仙塩訪問看護ステーション</t>
  </si>
  <si>
    <t>訪問看護ステーションふれ愛</t>
  </si>
  <si>
    <t>多賀城市町前2丁目3番25号</t>
  </si>
  <si>
    <t>訪問看護ステーションあやめ多賀城</t>
  </si>
  <si>
    <t>訪問看護ステーションナースケア岩沼</t>
  </si>
  <si>
    <t>南東北訪問看護ステーション</t>
  </si>
  <si>
    <t>岩沼市里の杜１丁目２番６号</t>
  </si>
  <si>
    <t>セントケア訪問看護ステーション岩沼</t>
  </si>
  <si>
    <t>岩沼市大手町８番１５号</t>
  </si>
  <si>
    <t>ナーシングホームいわぬま訪問看護ステーション</t>
  </si>
  <si>
    <t>岩沼市藤浪１丁目３番５５号</t>
  </si>
  <si>
    <t>佐藤医院看護ステーション</t>
  </si>
  <si>
    <t>岩沼市中央２丁目５番３０号</t>
  </si>
  <si>
    <t>訪問看護ステーションココエル　岩沼</t>
  </si>
  <si>
    <t>登米市訪問看護ステーション米谷</t>
  </si>
  <si>
    <t>登米市東和町米谷字元町２００番地</t>
  </si>
  <si>
    <t>登米市訪問看護ステーション豊里</t>
  </si>
  <si>
    <t>訪問看護ステーションふれあいなかだ</t>
  </si>
  <si>
    <t>登米市中田町浅水字上川面６５番地１</t>
  </si>
  <si>
    <t>医療法人社団　健育会　登米ひまわり訪問看護ステーション</t>
  </si>
  <si>
    <t>やまと訪問看護ステーション</t>
  </si>
  <si>
    <t>公益社団法人宮城県看護協会　栗原訪問看護ステーション</t>
  </si>
  <si>
    <t>桜樹訪問看護ステーション</t>
  </si>
  <si>
    <t>栗原市若柳字川北元町裏１１４</t>
  </si>
  <si>
    <t>ケアビレッジ栗原ケアサービスステーション訪問看護事業所</t>
  </si>
  <si>
    <t>ピース訪問看護ステーション</t>
  </si>
  <si>
    <t>栗原市一迫真坂字清水町田２番地１４</t>
  </si>
  <si>
    <t>公益財団法人宮城厚生協会　ケアステーションあゆみ</t>
  </si>
  <si>
    <t>公益社団法人宮城県看護協会大崎訪問看護ステーション</t>
  </si>
  <si>
    <t>大崎市三本木字善並田１５６番地</t>
  </si>
  <si>
    <t>医療法人社団健育会大崎ひまわり訪問看護ステーション</t>
  </si>
  <si>
    <t>たつみの風訪問看護ステーション</t>
  </si>
  <si>
    <t>大崎市古川江合寿町一丁目5番地12</t>
  </si>
  <si>
    <t>訪問看護ステーションみやび</t>
  </si>
  <si>
    <t>大崎市古川北町二丁目４番２２号</t>
  </si>
  <si>
    <t>訪問看護ステーション和み</t>
  </si>
  <si>
    <t>リハナースステーション古川</t>
  </si>
  <si>
    <t>大崎市古川台町一丁目２番２３号</t>
  </si>
  <si>
    <t>まぅるる訪問看護ステーション</t>
  </si>
  <si>
    <t>大崎市古川休塚字中谷地３番地１</t>
  </si>
  <si>
    <t>訪問看護ステーション　共　生</t>
  </si>
  <si>
    <t>ほのか定期時巡回・随時対応型訪問介護看護ステーション</t>
  </si>
  <si>
    <t>あおい訪問看護ステーション富谷</t>
  </si>
  <si>
    <t>富谷市富谷一枚沖10</t>
  </si>
  <si>
    <t>訪問看護ステーション　スプリングフォレスト明石台</t>
  </si>
  <si>
    <t>社会福祉法人蔵王町社会福祉協議会訪問看護ステーション</t>
  </si>
  <si>
    <t>刈田郡蔵王町大字円田字十文字北３番１</t>
  </si>
  <si>
    <t>公益社団法人宮城県看護協会柴田・角田地域訪問看護ステーション</t>
  </si>
  <si>
    <t>柴田郡柴田町船岡中央２丁目７番１９号</t>
  </si>
  <si>
    <t>みやぎ県南中核病院附属訪問看護ステーション</t>
  </si>
  <si>
    <t>柴田郡村田町大字村田字西６２番地</t>
  </si>
  <si>
    <t>みやぎ県南医療生活協同組合　訪問看護ステーション柚子</t>
  </si>
  <si>
    <t>訪問看護ステーション　ありがとう</t>
  </si>
  <si>
    <t>訪問看護ステーションなないろ</t>
  </si>
  <si>
    <t>やまもと訪問看護ステーション</t>
  </si>
  <si>
    <t>リハビリ訪問看護ステーションつばさ仙南</t>
  </si>
  <si>
    <t>すこやか訪問看護ステーション</t>
  </si>
  <si>
    <t>ナーシングホームつばさ亘理</t>
  </si>
  <si>
    <t>松島医療生活協同組合訪問看護ステーションまつしま</t>
  </si>
  <si>
    <t>くろかわ訪問看護ステーション</t>
  </si>
  <si>
    <t>黒川郡大和町吉岡字西桧木６０番地</t>
  </si>
  <si>
    <t>大郷訪問看護ステーション</t>
  </si>
  <si>
    <t>黒川郡大郷町羽生字中ノ町１１番１</t>
  </si>
  <si>
    <t>涌谷町訪問看護ステーション</t>
  </si>
  <si>
    <t>遠田郡涌谷町涌谷字中江南２７８番地</t>
  </si>
  <si>
    <t>公益社団法人宮城県看護協会こごた訪問看護ステーション</t>
  </si>
  <si>
    <t>りあす訪問看護ステーション</t>
  </si>
  <si>
    <t>合同会社訪問看護ステーションボブ</t>
  </si>
  <si>
    <t>連番</t>
    <rPh sb="0" eb="2">
      <t>レンバン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</si>
</sst>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33" borderId="10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rgb="FFFFC7CE"/>
          <bgColor rgb="FF0000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84"/>
  <sheetViews>
    <sheetView tabSelected="1" zoomScaleNormal="100" workbookViewId="0">
      <pane ySplit="1" topLeftCell="A1179" activePane="bottomLeft" state="frozen"/>
      <selection pane="bottomLeft" activeCell="C1187" sqref="C1187"/>
    </sheetView>
  </sheetViews>
  <sheetFormatPr defaultRowHeight="18.75" x14ac:dyDescent="0.4"/>
  <cols>
    <col min="1" max="1" width="5.875" style="1" customWidth="1"/>
    <col min="2" max="2" width="27.5" style="1" customWidth="1"/>
    <col min="3" max="3" width="10" style="1" customWidth="1"/>
    <col min="4" max="4" width="22.875" style="1" customWidth="1"/>
    <col min="5" max="5" width="18" style="1" customWidth="1"/>
    <col min="6" max="6" width="27.5" style="1" customWidth="1"/>
    <col min="7" max="7" width="36.25" style="1" customWidth="1"/>
    <col min="8" max="16384" width="9" style="1"/>
  </cols>
  <sheetData>
    <row r="1" spans="1:7" s="4" customFormat="1" x14ac:dyDescent="0.4">
      <c r="A1" s="3" t="s">
        <v>1874</v>
      </c>
      <c r="B1" s="3" t="s">
        <v>0</v>
      </c>
      <c r="C1" s="3" t="s">
        <v>1</v>
      </c>
      <c r="D1" s="3" t="s">
        <v>2</v>
      </c>
      <c r="E1" s="3" t="s">
        <v>3</v>
      </c>
      <c r="F1" s="3" t="s">
        <v>4</v>
      </c>
      <c r="G1" s="3" t="s">
        <v>5</v>
      </c>
    </row>
    <row r="2" spans="1:7" ht="37.5" x14ac:dyDescent="0.4">
      <c r="A2" s="2">
        <v>1</v>
      </c>
      <c r="B2" s="2" t="s">
        <v>756</v>
      </c>
      <c r="C2" s="2" t="str">
        <f>"981-2104"</f>
        <v>981-2104</v>
      </c>
      <c r="D2" s="2" t="str">
        <f>"伊具郡丸森町字大舘３－１１０"</f>
        <v>伊具郡丸森町字大舘３－１１０</v>
      </c>
      <c r="E2" s="2" t="str">
        <f>"0224-72-1166  "</f>
        <v xml:space="preserve">0224-72-1166  </v>
      </c>
      <c r="F2" s="2" t="s">
        <v>6</v>
      </c>
      <c r="G2" s="2" t="s">
        <v>38</v>
      </c>
    </row>
    <row r="3" spans="1:7" ht="37.5" x14ac:dyDescent="0.4">
      <c r="A3" s="2">
        <v>2</v>
      </c>
      <c r="B3" s="2" t="s">
        <v>1656</v>
      </c>
      <c r="C3" s="2" t="str">
        <f>"981-2104"</f>
        <v>981-2104</v>
      </c>
      <c r="D3" s="2" t="s">
        <v>1657</v>
      </c>
      <c r="E3" s="2" t="str">
        <f>"0224-72-3123  "</f>
        <v xml:space="preserve">0224-72-3123  </v>
      </c>
      <c r="F3" s="2" t="s">
        <v>9</v>
      </c>
      <c r="G3" s="2" t="s">
        <v>1063</v>
      </c>
    </row>
    <row r="4" spans="1:7" ht="37.5" x14ac:dyDescent="0.4">
      <c r="A4" s="2">
        <v>3</v>
      </c>
      <c r="B4" s="2" t="s">
        <v>753</v>
      </c>
      <c r="C4" s="2" t="str">
        <f>"981-2152"</f>
        <v>981-2152</v>
      </c>
      <c r="D4" s="2" t="s">
        <v>754</v>
      </c>
      <c r="E4" s="2" t="str">
        <f>"0224-72-2131  "</f>
        <v xml:space="preserve">0224-72-2131  </v>
      </c>
      <c r="F4" s="2" t="s">
        <v>6</v>
      </c>
      <c r="G4" s="2" t="s">
        <v>755</v>
      </c>
    </row>
    <row r="5" spans="1:7" ht="37.5" x14ac:dyDescent="0.4">
      <c r="A5" s="2">
        <v>4</v>
      </c>
      <c r="B5" s="2" t="s">
        <v>1655</v>
      </c>
      <c r="C5" s="2" t="str">
        <f>"981-2152"</f>
        <v>981-2152</v>
      </c>
      <c r="D5" s="2" t="str">
        <f>"伊具郡丸森町字鳥屋　８５－１"</f>
        <v>伊具郡丸森町字鳥屋　８５－１</v>
      </c>
      <c r="E5" s="2" t="str">
        <f>"0224-73-1189  "</f>
        <v xml:space="preserve">0224-73-1189  </v>
      </c>
      <c r="F5" s="2" t="s">
        <v>9</v>
      </c>
      <c r="G5" s="2" t="s">
        <v>1063</v>
      </c>
    </row>
    <row r="6" spans="1:7" ht="37.5" x14ac:dyDescent="0.4">
      <c r="A6" s="2">
        <v>5</v>
      </c>
      <c r="B6" s="2" t="s">
        <v>1654</v>
      </c>
      <c r="C6" s="2" t="str">
        <f>"981-2152"</f>
        <v>981-2152</v>
      </c>
      <c r="D6" s="2" t="str">
        <f>"伊具郡丸森町字鳥屋　８７－３"</f>
        <v>伊具郡丸森町字鳥屋　８７－３</v>
      </c>
      <c r="E6" s="2" t="str">
        <f>"0224-73-1181  "</f>
        <v xml:space="preserve">0224-73-1181  </v>
      </c>
      <c r="F6" s="2" t="s">
        <v>9</v>
      </c>
      <c r="G6" s="2" t="s">
        <v>1063</v>
      </c>
    </row>
    <row r="7" spans="1:7" ht="37.5" x14ac:dyDescent="0.4">
      <c r="A7" s="2">
        <v>6</v>
      </c>
      <c r="B7" s="2" t="s">
        <v>1859</v>
      </c>
      <c r="C7" s="2" t="str">
        <f>"981-2152"</f>
        <v>981-2152</v>
      </c>
      <c r="D7" s="2" t="str">
        <f>"伊具郡丸森町字鳥屋７７－３－１０１"</f>
        <v>伊具郡丸森町字鳥屋７７－３－１０１</v>
      </c>
      <c r="E7" s="2" t="str">
        <f>"0224-87-8160  "</f>
        <v xml:space="preserve">0224-87-8160  </v>
      </c>
      <c r="F7" s="2" t="s">
        <v>11</v>
      </c>
      <c r="G7" s="2" t="s">
        <v>1151</v>
      </c>
    </row>
    <row r="8" spans="1:7" ht="37.5" x14ac:dyDescent="0.4">
      <c r="A8" s="2">
        <v>7</v>
      </c>
      <c r="B8" s="2" t="s">
        <v>1033</v>
      </c>
      <c r="C8" s="2" t="str">
        <f>"981-2501"</f>
        <v>981-2501</v>
      </c>
      <c r="D8" s="2" t="s">
        <v>1034</v>
      </c>
      <c r="E8" s="2" t="str">
        <f>"0224-79-2818  "</f>
        <v xml:space="preserve">0224-79-2818  </v>
      </c>
      <c r="F8" s="2" t="s">
        <v>6</v>
      </c>
      <c r="G8" s="2" t="s">
        <v>10</v>
      </c>
    </row>
    <row r="9" spans="1:7" ht="37.5" x14ac:dyDescent="0.4">
      <c r="A9" s="2">
        <v>8</v>
      </c>
      <c r="B9" s="2" t="s">
        <v>1871</v>
      </c>
      <c r="C9" s="2" t="str">
        <f>"987-0038"</f>
        <v>987-0038</v>
      </c>
      <c r="D9" s="2" t="str">
        <f>"遠田郡美里町駅東１－２－１"</f>
        <v>遠田郡美里町駅東１－２－１</v>
      </c>
      <c r="E9" s="2" t="str">
        <f>"0229-32-2296  "</f>
        <v xml:space="preserve">0229-32-2296  </v>
      </c>
      <c r="F9" s="2" t="s">
        <v>11</v>
      </c>
      <c r="G9" s="2" t="s">
        <v>1151</v>
      </c>
    </row>
    <row r="10" spans="1:7" ht="37.5" x14ac:dyDescent="0.4">
      <c r="A10" s="2">
        <v>9</v>
      </c>
      <c r="B10" s="2" t="s">
        <v>892</v>
      </c>
      <c r="C10" s="2" t="str">
        <f>"987-0006"</f>
        <v>987-0006</v>
      </c>
      <c r="D10" s="2" t="s">
        <v>873</v>
      </c>
      <c r="E10" s="2" t="str">
        <f>"0229-25-4710  "</f>
        <v xml:space="preserve">0229-25-4710  </v>
      </c>
      <c r="F10" s="2" t="s">
        <v>6</v>
      </c>
      <c r="G10" s="2" t="s">
        <v>893</v>
      </c>
    </row>
    <row r="11" spans="1:7" ht="37.5" x14ac:dyDescent="0.4">
      <c r="A11" s="2">
        <v>10</v>
      </c>
      <c r="B11" s="2" t="s">
        <v>884</v>
      </c>
      <c r="C11" s="2" t="str">
        <f>"987-0004"</f>
        <v>987-0004</v>
      </c>
      <c r="D11" s="2" t="str">
        <f>"遠田郡美里町牛飼字牛飼　７７－２"</f>
        <v>遠田郡美里町牛飼字牛飼　７７－２</v>
      </c>
      <c r="E11" s="2" t="str">
        <f>"0229-32-5959  "</f>
        <v xml:space="preserve">0229-32-5959  </v>
      </c>
      <c r="F11" s="2" t="s">
        <v>6</v>
      </c>
      <c r="G11" s="2" t="s">
        <v>885</v>
      </c>
    </row>
    <row r="12" spans="1:7" ht="37.5" x14ac:dyDescent="0.4">
      <c r="A12" s="2">
        <v>11</v>
      </c>
      <c r="B12" s="2" t="s">
        <v>1750</v>
      </c>
      <c r="C12" s="2" t="str">
        <f>"987-0004"</f>
        <v>987-0004</v>
      </c>
      <c r="D12" s="2" t="str">
        <f>"遠田郡美里町牛飼字牛飼　７７－８"</f>
        <v>遠田郡美里町牛飼字牛飼　７７－８</v>
      </c>
      <c r="E12" s="2" t="str">
        <f>"0229-31-2751  "</f>
        <v xml:space="preserve">0229-31-2751  </v>
      </c>
      <c r="F12" s="2" t="s">
        <v>9</v>
      </c>
      <c r="G12" s="2" t="s">
        <v>1063</v>
      </c>
    </row>
    <row r="13" spans="1:7" ht="37.5" x14ac:dyDescent="0.4">
      <c r="A13" s="2">
        <v>12</v>
      </c>
      <c r="B13" s="2" t="s">
        <v>886</v>
      </c>
      <c r="C13" s="2" t="str">
        <f>"987-0004"</f>
        <v>987-0004</v>
      </c>
      <c r="D13" s="2" t="str">
        <f>"遠田郡美里町牛飼字牛飼１３９－１"</f>
        <v>遠田郡美里町牛飼字牛飼１３９－１</v>
      </c>
      <c r="E13" s="2" t="str">
        <f>"0229-31-1230  "</f>
        <v xml:space="preserve">0229-31-1230  </v>
      </c>
      <c r="F13" s="2" t="s">
        <v>6</v>
      </c>
      <c r="G13" s="2" t="s">
        <v>786</v>
      </c>
    </row>
    <row r="14" spans="1:7" ht="37.5" x14ac:dyDescent="0.4">
      <c r="A14" s="2">
        <v>13</v>
      </c>
      <c r="B14" s="2" t="s">
        <v>1755</v>
      </c>
      <c r="C14" s="2" t="str">
        <f>"987-0004"</f>
        <v>987-0004</v>
      </c>
      <c r="D14" s="2" t="str">
        <f>"遠田郡美里町牛飼字牛飼145-1"</f>
        <v>遠田郡美里町牛飼字牛飼145-1</v>
      </c>
      <c r="E14" s="2" t="str">
        <f>"0229-87-8027  "</f>
        <v xml:space="preserve">0229-87-8027  </v>
      </c>
      <c r="F14" s="2" t="s">
        <v>9</v>
      </c>
      <c r="G14" s="2" t="s">
        <v>1063</v>
      </c>
    </row>
    <row r="15" spans="1:7" x14ac:dyDescent="0.4">
      <c r="A15" s="2">
        <v>14</v>
      </c>
      <c r="B15" s="2" t="s">
        <v>1056</v>
      </c>
      <c r="C15" s="2" t="str">
        <f>"987-0012"</f>
        <v>987-0012</v>
      </c>
      <c r="D15" s="2" t="s">
        <v>1057</v>
      </c>
      <c r="E15" s="2" t="str">
        <f>"0229-33-3666  "</f>
        <v xml:space="preserve">0229-33-3666  </v>
      </c>
      <c r="F15" s="2" t="s">
        <v>10</v>
      </c>
      <c r="G15" s="2" t="s">
        <v>10</v>
      </c>
    </row>
    <row r="16" spans="1:7" ht="37.5" x14ac:dyDescent="0.4">
      <c r="A16" s="2">
        <v>15</v>
      </c>
      <c r="B16" s="2" t="s">
        <v>1753</v>
      </c>
      <c r="C16" s="2" t="str">
        <f>"987-0012"</f>
        <v>987-0012</v>
      </c>
      <c r="D16" s="2" t="str">
        <f>"遠田郡美里町字素山町19-6"</f>
        <v>遠田郡美里町字素山町19-6</v>
      </c>
      <c r="E16" s="2" t="str">
        <f>"0229-87-4601  "</f>
        <v xml:space="preserve">0229-87-4601  </v>
      </c>
      <c r="F16" s="2" t="s">
        <v>9</v>
      </c>
      <c r="G16" s="2" t="s">
        <v>1063</v>
      </c>
    </row>
    <row r="17" spans="1:7" ht="37.5" x14ac:dyDescent="0.4">
      <c r="A17" s="2">
        <v>16</v>
      </c>
      <c r="B17" s="2" t="s">
        <v>1744</v>
      </c>
      <c r="C17" s="2" t="str">
        <f>"987-0002"</f>
        <v>987-0002</v>
      </c>
      <c r="D17" s="2" t="s">
        <v>1745</v>
      </c>
      <c r="E17" s="2" t="str">
        <f>"0229-32-2179  "</f>
        <v xml:space="preserve">0229-32-2179  </v>
      </c>
      <c r="F17" s="2" t="s">
        <v>9</v>
      </c>
      <c r="G17" s="2" t="s">
        <v>1063</v>
      </c>
    </row>
    <row r="18" spans="1:7" ht="37.5" x14ac:dyDescent="0.4">
      <c r="A18" s="2">
        <v>17</v>
      </c>
      <c r="B18" s="2" t="s">
        <v>1052</v>
      </c>
      <c r="C18" s="2" t="str">
        <f>"987-0002"</f>
        <v>987-0002</v>
      </c>
      <c r="D18" s="2" t="s">
        <v>1053</v>
      </c>
      <c r="E18" s="2" t="str">
        <f>"0229-33-1900  "</f>
        <v xml:space="preserve">0229-33-1900  </v>
      </c>
      <c r="F18" s="2" t="s">
        <v>6</v>
      </c>
      <c r="G18" s="2" t="s">
        <v>10</v>
      </c>
    </row>
    <row r="19" spans="1:7" ht="37.5" x14ac:dyDescent="0.4">
      <c r="A19" s="2">
        <v>18</v>
      </c>
      <c r="B19" s="2" t="s">
        <v>950</v>
      </c>
      <c r="C19" s="2" t="str">
        <f>"989-4204"</f>
        <v>989-4204</v>
      </c>
      <c r="D19" s="2" t="str">
        <f>"遠田郡美里町大柳字明神1-8"</f>
        <v>遠田郡美里町大柳字明神1-8</v>
      </c>
      <c r="E19" s="2" t="str">
        <f>"0229-58-1881  "</f>
        <v xml:space="preserve">0229-58-1881  </v>
      </c>
      <c r="F19" s="2" t="s">
        <v>6</v>
      </c>
      <c r="G19" s="2" t="s">
        <v>10</v>
      </c>
    </row>
    <row r="20" spans="1:7" ht="37.5" x14ac:dyDescent="0.4">
      <c r="A20" s="2">
        <v>19</v>
      </c>
      <c r="B20" s="2" t="s">
        <v>879</v>
      </c>
      <c r="C20" s="2" t="str">
        <f>"987-0002"</f>
        <v>987-0002</v>
      </c>
      <c r="D20" s="2" t="s">
        <v>880</v>
      </c>
      <c r="E20" s="2" t="str">
        <f>"0229-32-4866  "</f>
        <v xml:space="preserve">0229-32-4866  </v>
      </c>
      <c r="F20" s="2" t="s">
        <v>6</v>
      </c>
      <c r="G20" s="2" t="s">
        <v>97</v>
      </c>
    </row>
    <row r="21" spans="1:7" ht="37.5" x14ac:dyDescent="0.4">
      <c r="A21" s="2">
        <v>20</v>
      </c>
      <c r="B21" s="2" t="s">
        <v>881</v>
      </c>
      <c r="C21" s="2" t="str">
        <f>"987-0002"</f>
        <v>987-0002</v>
      </c>
      <c r="D21" s="2" t="s">
        <v>882</v>
      </c>
      <c r="E21" s="2" t="str">
        <f>"0229-32-2770  "</f>
        <v xml:space="preserve">0229-32-2770  </v>
      </c>
      <c r="F21" s="2" t="s">
        <v>6</v>
      </c>
      <c r="G21" s="2" t="s">
        <v>883</v>
      </c>
    </row>
    <row r="22" spans="1:7" ht="37.5" x14ac:dyDescent="0.4">
      <c r="A22" s="2">
        <v>21</v>
      </c>
      <c r="B22" s="2" t="s">
        <v>871</v>
      </c>
      <c r="C22" s="2" t="str">
        <f>"987-0003"</f>
        <v>987-0003</v>
      </c>
      <c r="D22" s="2" t="s">
        <v>872</v>
      </c>
      <c r="E22" s="2" t="str">
        <f>"0229-32-2011  "</f>
        <v xml:space="preserve">0229-32-2011  </v>
      </c>
      <c r="F22" s="2" t="s">
        <v>6</v>
      </c>
      <c r="G22" s="2" t="s">
        <v>204</v>
      </c>
    </row>
    <row r="23" spans="1:7" ht="37.5" x14ac:dyDescent="0.4">
      <c r="A23" s="2">
        <v>22</v>
      </c>
      <c r="B23" s="2" t="s">
        <v>1752</v>
      </c>
      <c r="C23" s="2" t="str">
        <f>"987-0003"</f>
        <v>987-0003</v>
      </c>
      <c r="D23" s="2" t="str">
        <f>"遠田郡美里町南小牛田字山の神５４－３"</f>
        <v>遠田郡美里町南小牛田字山の神５４－３</v>
      </c>
      <c r="E23" s="2" t="str">
        <f>"0229-32-3050  "</f>
        <v xml:space="preserve">0229-32-3050  </v>
      </c>
      <c r="F23" s="2" t="s">
        <v>9</v>
      </c>
      <c r="G23" s="2" t="s">
        <v>1063</v>
      </c>
    </row>
    <row r="24" spans="1:7" ht="37.5" x14ac:dyDescent="0.4">
      <c r="A24" s="2">
        <v>23</v>
      </c>
      <c r="B24" s="2" t="s">
        <v>1873</v>
      </c>
      <c r="C24" s="2" t="str">
        <f>"987-0005"</f>
        <v>987-0005</v>
      </c>
      <c r="D24" s="2" t="str">
        <f>"遠田郡美里町北浦１丁目５－３－１０２"</f>
        <v>遠田郡美里町北浦１丁目５－３－１０２</v>
      </c>
      <c r="E24" s="2" t="str">
        <f>"0229-87-8453  "</f>
        <v xml:space="preserve">0229-87-8453  </v>
      </c>
      <c r="F24" s="2" t="s">
        <v>11</v>
      </c>
      <c r="G24" s="2" t="s">
        <v>1151</v>
      </c>
    </row>
    <row r="25" spans="1:7" ht="37.5" x14ac:dyDescent="0.4">
      <c r="A25" s="2">
        <v>24</v>
      </c>
      <c r="B25" s="2" t="s">
        <v>874</v>
      </c>
      <c r="C25" s="2" t="str">
        <f>"987-0005"</f>
        <v>987-0005</v>
      </c>
      <c r="D25" s="2" t="s">
        <v>875</v>
      </c>
      <c r="E25" s="2" t="str">
        <f>"0229-31-1188  "</f>
        <v xml:space="preserve">0229-31-1188  </v>
      </c>
      <c r="F25" s="2" t="s">
        <v>6</v>
      </c>
      <c r="G25" s="2" t="s">
        <v>876</v>
      </c>
    </row>
    <row r="26" spans="1:7" ht="37.5" x14ac:dyDescent="0.4">
      <c r="A26" s="2">
        <v>25</v>
      </c>
      <c r="B26" s="2" t="s">
        <v>1754</v>
      </c>
      <c r="C26" s="2" t="str">
        <f>"987-0005"</f>
        <v>987-0005</v>
      </c>
      <c r="D26" s="2" t="str">
        <f>"遠田郡美里町北浦字船入２－３１０"</f>
        <v>遠田郡美里町北浦字船入２－３１０</v>
      </c>
      <c r="E26" s="2" t="str">
        <f>"0229-25-5618  "</f>
        <v xml:space="preserve">0229-25-5618  </v>
      </c>
      <c r="F26" s="2" t="s">
        <v>9</v>
      </c>
      <c r="G26" s="2" t="s">
        <v>1063</v>
      </c>
    </row>
    <row r="27" spans="1:7" ht="37.5" x14ac:dyDescent="0.4">
      <c r="A27" s="2">
        <v>26</v>
      </c>
      <c r="B27" s="2" t="s">
        <v>887</v>
      </c>
      <c r="C27" s="2" t="str">
        <f>"989-4205"</f>
        <v>989-4205</v>
      </c>
      <c r="D27" s="2" t="s">
        <v>888</v>
      </c>
      <c r="E27" s="2" t="str">
        <f>"0229-58-1234  "</f>
        <v xml:space="preserve">0229-58-1234  </v>
      </c>
      <c r="F27" s="2" t="s">
        <v>6</v>
      </c>
      <c r="G27" s="2" t="s">
        <v>889</v>
      </c>
    </row>
    <row r="28" spans="1:7" ht="37.5" x14ac:dyDescent="0.4">
      <c r="A28" s="2">
        <v>27</v>
      </c>
      <c r="B28" s="2" t="s">
        <v>1747</v>
      </c>
      <c r="C28" s="2" t="str">
        <f>"989-4205"</f>
        <v>989-4205</v>
      </c>
      <c r="D28" s="2" t="str">
        <f>"遠田郡美里町木間塚字砂押60-2"</f>
        <v>遠田郡美里町木間塚字砂押60-2</v>
      </c>
      <c r="E28" s="2" t="str">
        <f>"0229-59-1055  "</f>
        <v xml:space="preserve">0229-59-1055  </v>
      </c>
      <c r="F28" s="2" t="s">
        <v>9</v>
      </c>
      <c r="G28" s="2" t="s">
        <v>1063</v>
      </c>
    </row>
    <row r="29" spans="1:7" ht="37.5" x14ac:dyDescent="0.4">
      <c r="A29" s="2">
        <v>28</v>
      </c>
      <c r="B29" s="2" t="s">
        <v>1751</v>
      </c>
      <c r="C29" s="2" t="str">
        <f>"989-4205"</f>
        <v>989-4205</v>
      </c>
      <c r="D29" s="2" t="str">
        <f>"遠田郡美里町木間塚字砂押７５－１"</f>
        <v>遠田郡美里町木間塚字砂押７５－１</v>
      </c>
      <c r="E29" s="2" t="str">
        <f>"0229-58-3993  "</f>
        <v xml:space="preserve">0229-58-3993  </v>
      </c>
      <c r="F29" s="2" t="s">
        <v>9</v>
      </c>
      <c r="G29" s="2" t="s">
        <v>1063</v>
      </c>
    </row>
    <row r="30" spans="1:7" ht="37.5" x14ac:dyDescent="0.4">
      <c r="A30" s="2">
        <v>29</v>
      </c>
      <c r="B30" s="2" t="s">
        <v>878</v>
      </c>
      <c r="C30" s="2" t="str">
        <f>"987-0147"</f>
        <v>987-0147</v>
      </c>
      <c r="D30" s="2" t="str">
        <f>"遠田郡涌谷町字下道２－１"</f>
        <v>遠田郡涌谷町字下道２－１</v>
      </c>
      <c r="E30" s="2" t="str">
        <f>"0229-43-5553  "</f>
        <v xml:space="preserve">0229-43-5553  </v>
      </c>
      <c r="F30" s="2" t="s">
        <v>6</v>
      </c>
      <c r="G30" s="2" t="s">
        <v>18</v>
      </c>
    </row>
    <row r="31" spans="1:7" x14ac:dyDescent="0.4">
      <c r="A31" s="2">
        <v>30</v>
      </c>
      <c r="B31" s="2" t="s">
        <v>1748</v>
      </c>
      <c r="C31" s="2" t="str">
        <f>"987-0147"</f>
        <v>987-0147</v>
      </c>
      <c r="D31" s="2" t="s">
        <v>1749</v>
      </c>
      <c r="E31" s="2" t="str">
        <f>"0229-44-1611  "</f>
        <v xml:space="preserve">0229-44-1611  </v>
      </c>
      <c r="F31" s="2" t="s">
        <v>9</v>
      </c>
      <c r="G31" s="2" t="s">
        <v>1063</v>
      </c>
    </row>
    <row r="32" spans="1:7" ht="37.5" x14ac:dyDescent="0.4">
      <c r="A32" s="2">
        <v>31</v>
      </c>
      <c r="B32" s="2" t="s">
        <v>890</v>
      </c>
      <c r="C32" s="2" t="str">
        <f>"987-0141"</f>
        <v>987-0141</v>
      </c>
      <c r="D32" s="2" t="s">
        <v>891</v>
      </c>
      <c r="E32" s="2" t="str">
        <f>"0229-44-1133  "</f>
        <v xml:space="preserve">0229-44-1133  </v>
      </c>
      <c r="F32" s="2" t="s">
        <v>6</v>
      </c>
      <c r="G32" s="2" t="s">
        <v>440</v>
      </c>
    </row>
    <row r="33" spans="1:7" ht="37.5" x14ac:dyDescent="0.4">
      <c r="A33" s="2">
        <v>32</v>
      </c>
      <c r="B33" s="2" t="s">
        <v>1152</v>
      </c>
      <c r="C33" s="2" t="str">
        <f>"987-0162"</f>
        <v>987-0162</v>
      </c>
      <c r="D33" s="2" t="str">
        <f>"遠田郡涌谷町字本町８４－３"</f>
        <v>遠田郡涌谷町字本町８４－３</v>
      </c>
      <c r="E33" s="2" t="str">
        <f>"0229-42-2035  "</f>
        <v xml:space="preserve">0229-42-2035  </v>
      </c>
      <c r="F33" s="2" t="s">
        <v>9</v>
      </c>
      <c r="G33" s="2" t="s">
        <v>1063</v>
      </c>
    </row>
    <row r="34" spans="1:7" x14ac:dyDescent="0.4">
      <c r="A34" s="2">
        <v>33</v>
      </c>
      <c r="B34" s="2" t="s">
        <v>908</v>
      </c>
      <c r="C34" s="2" t="str">
        <f>"987-0115"</f>
        <v>987-0115</v>
      </c>
      <c r="D34" s="2" t="s">
        <v>1060</v>
      </c>
      <c r="E34" s="2" t="str">
        <f>"0229-43-3313  "</f>
        <v xml:space="preserve">0229-43-3313  </v>
      </c>
      <c r="F34" s="2" t="s">
        <v>10</v>
      </c>
      <c r="G34" s="2" t="s">
        <v>10</v>
      </c>
    </row>
    <row r="35" spans="1:7" ht="37.5" x14ac:dyDescent="0.4">
      <c r="A35" s="2">
        <v>34</v>
      </c>
      <c r="B35" s="2" t="s">
        <v>877</v>
      </c>
      <c r="C35" s="2" t="str">
        <f>"987-0146"</f>
        <v>987-0146</v>
      </c>
      <c r="D35" s="2" t="str">
        <f>"遠田郡涌谷町中下道　１２９－１－１"</f>
        <v>遠田郡涌谷町中下道　１２９－１－１</v>
      </c>
      <c r="E35" s="2" t="str">
        <f>"0229-44-1234  "</f>
        <v xml:space="preserve">0229-44-1234  </v>
      </c>
      <c r="F35" s="2" t="s">
        <v>6</v>
      </c>
      <c r="G35" s="2" t="s">
        <v>48</v>
      </c>
    </row>
    <row r="36" spans="1:7" ht="37.5" x14ac:dyDescent="0.4">
      <c r="A36" s="2">
        <v>35</v>
      </c>
      <c r="B36" s="2" t="s">
        <v>1756</v>
      </c>
      <c r="C36" s="2" t="str">
        <f>"987-0146"</f>
        <v>987-0146</v>
      </c>
      <c r="D36" s="2" t="str">
        <f>"遠田郡涌谷町中下道129-1-2"</f>
        <v>遠田郡涌谷町中下道129-1-2</v>
      </c>
      <c r="E36" s="2" t="s">
        <v>7</v>
      </c>
      <c r="F36" s="2" t="s">
        <v>9</v>
      </c>
      <c r="G36" s="2"/>
    </row>
    <row r="37" spans="1:7" ht="37.5" x14ac:dyDescent="0.4">
      <c r="A37" s="2">
        <v>36</v>
      </c>
      <c r="B37" s="2" t="s">
        <v>1746</v>
      </c>
      <c r="C37" s="2" t="str">
        <f>"987-0141"</f>
        <v>987-0141</v>
      </c>
      <c r="D37" s="2" t="str">
        <f>"遠田郡涌谷町田町裏　１３８－４"</f>
        <v>遠田郡涌谷町田町裏　１３８－４</v>
      </c>
      <c r="E37" s="2" t="str">
        <f>"0229-44-1215  "</f>
        <v xml:space="preserve">0229-44-1215  </v>
      </c>
      <c r="F37" s="2" t="s">
        <v>9</v>
      </c>
      <c r="G37" s="2" t="s">
        <v>1063</v>
      </c>
    </row>
    <row r="38" spans="1:7" ht="56.25" x14ac:dyDescent="0.4">
      <c r="A38" s="2">
        <v>37</v>
      </c>
      <c r="B38" s="2" t="s">
        <v>868</v>
      </c>
      <c r="C38" s="2" t="str">
        <f>"987-0121"</f>
        <v>987-0121</v>
      </c>
      <c r="D38" s="2" t="s">
        <v>869</v>
      </c>
      <c r="E38" s="2" t="str">
        <f>"0229-43-5111  "</f>
        <v xml:space="preserve">0229-43-5111  </v>
      </c>
      <c r="F38" s="2" t="s">
        <v>6</v>
      </c>
      <c r="G38" s="2" t="s">
        <v>870</v>
      </c>
    </row>
    <row r="39" spans="1:7" ht="37.5" x14ac:dyDescent="0.4">
      <c r="A39" s="2">
        <v>38</v>
      </c>
      <c r="B39" s="2" t="s">
        <v>1869</v>
      </c>
      <c r="C39" s="2" t="str">
        <f>"987-0121"</f>
        <v>987-0121</v>
      </c>
      <c r="D39" s="2" t="s">
        <v>1870</v>
      </c>
      <c r="E39" s="2" t="str">
        <f>"029-43-5111   "</f>
        <v xml:space="preserve">029-43-5111   </v>
      </c>
      <c r="F39" s="2" t="s">
        <v>11</v>
      </c>
      <c r="G39" s="2" t="s">
        <v>1151</v>
      </c>
    </row>
    <row r="40" spans="1:7" ht="56.25" x14ac:dyDescent="0.4">
      <c r="A40" s="2">
        <v>39</v>
      </c>
      <c r="B40" s="2" t="s">
        <v>1054</v>
      </c>
      <c r="C40" s="2" t="str">
        <f>"987-0121"</f>
        <v>987-0121</v>
      </c>
      <c r="D40" s="2" t="s">
        <v>1055</v>
      </c>
      <c r="E40" s="2" t="str">
        <f>"0229-43-6616  "</f>
        <v xml:space="preserve">0229-43-6616  </v>
      </c>
      <c r="F40" s="2" t="s">
        <v>6</v>
      </c>
      <c r="G40" s="2" t="s">
        <v>941</v>
      </c>
    </row>
    <row r="41" spans="1:7" x14ac:dyDescent="0.4">
      <c r="A41" s="2">
        <v>40</v>
      </c>
      <c r="B41" s="2" t="s">
        <v>1058</v>
      </c>
      <c r="C41" s="2" t="str">
        <f>"987-0163"</f>
        <v>987-0163</v>
      </c>
      <c r="D41" s="2" t="s">
        <v>1059</v>
      </c>
      <c r="E41" s="2" t="str">
        <f>"0229-25-5250  "</f>
        <v xml:space="preserve">0229-25-5250  </v>
      </c>
      <c r="F41" s="2" t="s">
        <v>6</v>
      </c>
      <c r="G41" s="2" t="s">
        <v>910</v>
      </c>
    </row>
    <row r="42" spans="1:7" ht="37.5" x14ac:dyDescent="0.4">
      <c r="A42" s="2">
        <v>41</v>
      </c>
      <c r="B42" s="2" t="s">
        <v>1780</v>
      </c>
      <c r="C42" s="2" t="str">
        <f>"985-0001"</f>
        <v>985-0001</v>
      </c>
      <c r="D42" s="2" t="s">
        <v>1781</v>
      </c>
      <c r="E42" s="2" t="str">
        <f>"022-361-5377  "</f>
        <v xml:space="preserve">022-361-5377  </v>
      </c>
      <c r="F42" s="2" t="s">
        <v>11</v>
      </c>
      <c r="G42" s="2" t="s">
        <v>1151</v>
      </c>
    </row>
    <row r="43" spans="1:7" ht="37.5" x14ac:dyDescent="0.4">
      <c r="A43" s="2">
        <v>42</v>
      </c>
      <c r="B43" s="2" t="s">
        <v>1782</v>
      </c>
      <c r="C43" s="2" t="str">
        <f>"985-0061"</f>
        <v>985-0061</v>
      </c>
      <c r="D43" s="2" t="str">
        <f>"塩竃市清水沢４丁目３７－２０"</f>
        <v>塩竃市清水沢４丁目３７－２０</v>
      </c>
      <c r="E43" s="2" t="str">
        <f>"022-367-3256  "</f>
        <v xml:space="preserve">022-367-3256  </v>
      </c>
      <c r="F43" s="2" t="s">
        <v>11</v>
      </c>
      <c r="G43" s="2" t="s">
        <v>1151</v>
      </c>
    </row>
    <row r="44" spans="1:7" x14ac:dyDescent="0.4">
      <c r="A44" s="2">
        <v>43</v>
      </c>
      <c r="B44" s="2" t="s">
        <v>1175</v>
      </c>
      <c r="C44" s="2" t="str">
        <f>"985-0062"</f>
        <v>985-0062</v>
      </c>
      <c r="D44" s="2" t="str">
        <f>"塩竃市泉沢町22-5"</f>
        <v>塩竃市泉沢町22-5</v>
      </c>
      <c r="E44" s="2" t="str">
        <f>"022-290-6553  "</f>
        <v xml:space="preserve">022-290-6553  </v>
      </c>
      <c r="F44" s="2" t="s">
        <v>9</v>
      </c>
      <c r="G44" s="2" t="s">
        <v>1063</v>
      </c>
    </row>
    <row r="45" spans="1:7" x14ac:dyDescent="0.4">
      <c r="A45" s="2">
        <v>44</v>
      </c>
      <c r="B45" s="2" t="s">
        <v>1180</v>
      </c>
      <c r="C45" s="2" t="str">
        <f>"985-0042"</f>
        <v>985-0042</v>
      </c>
      <c r="D45" s="2" t="str">
        <f>"塩釜市玉川1-5-16"</f>
        <v>塩釜市玉川1-5-16</v>
      </c>
      <c r="E45" s="2" t="str">
        <f>"022-365-2838  "</f>
        <v xml:space="preserve">022-365-2838  </v>
      </c>
      <c r="F45" s="2" t="s">
        <v>9</v>
      </c>
      <c r="G45" s="2" t="s">
        <v>1063</v>
      </c>
    </row>
    <row r="46" spans="1:7" ht="168.75" x14ac:dyDescent="0.4">
      <c r="A46" s="2">
        <v>45</v>
      </c>
      <c r="B46" s="2" t="s">
        <v>126</v>
      </c>
      <c r="C46" s="2" t="str">
        <f>"985-8506"</f>
        <v>985-8506</v>
      </c>
      <c r="D46" s="2" t="s">
        <v>127</v>
      </c>
      <c r="E46" s="2" t="str">
        <f>"022-365-5175  "</f>
        <v xml:space="preserve">022-365-5175  </v>
      </c>
      <c r="F46" s="2" t="s">
        <v>6</v>
      </c>
      <c r="G46" s="2" t="s">
        <v>128</v>
      </c>
    </row>
    <row r="47" spans="1:7" x14ac:dyDescent="0.4">
      <c r="A47" s="2">
        <v>46</v>
      </c>
      <c r="B47" s="2" t="s">
        <v>139</v>
      </c>
      <c r="C47" s="2" t="str">
        <f>"985-0085"</f>
        <v>985-0085</v>
      </c>
      <c r="D47" s="2" t="str">
        <f>"塩釜市庚塚1-3"</f>
        <v>塩釜市庚塚1-3</v>
      </c>
      <c r="E47" s="2" t="str">
        <f>"022-366-7251  "</f>
        <v xml:space="preserve">022-366-7251  </v>
      </c>
      <c r="F47" s="2" t="s">
        <v>6</v>
      </c>
      <c r="G47" s="2" t="s">
        <v>38</v>
      </c>
    </row>
    <row r="48" spans="1:7" ht="37.5" x14ac:dyDescent="0.4">
      <c r="A48" s="2">
        <v>47</v>
      </c>
      <c r="B48" s="2" t="s">
        <v>1777</v>
      </c>
      <c r="C48" s="2" t="str">
        <f>"985-0085"</f>
        <v>985-0085</v>
      </c>
      <c r="D48" s="2" t="str">
        <f>"塩釜市庚塚1-3"</f>
        <v>塩釜市庚塚1-3</v>
      </c>
      <c r="E48" s="2" t="str">
        <f>"022-366-5539  "</f>
        <v xml:space="preserve">022-366-5539  </v>
      </c>
      <c r="F48" s="2" t="s">
        <v>11</v>
      </c>
      <c r="G48" s="2" t="s">
        <v>1151</v>
      </c>
    </row>
    <row r="49" spans="1:7" x14ac:dyDescent="0.4">
      <c r="A49" s="2">
        <v>48</v>
      </c>
      <c r="B49" s="2" t="s">
        <v>1181</v>
      </c>
      <c r="C49" s="2" t="str">
        <f>"985-0071"</f>
        <v>985-0071</v>
      </c>
      <c r="D49" s="2" t="str">
        <f>"塩釜市松陽台2-16-1"</f>
        <v>塩釜市松陽台2-16-1</v>
      </c>
      <c r="E49" s="2" t="str">
        <f>"022-361-9444  "</f>
        <v xml:space="preserve">022-361-9444  </v>
      </c>
      <c r="F49" s="2" t="s">
        <v>9</v>
      </c>
      <c r="G49" s="2" t="s">
        <v>1063</v>
      </c>
    </row>
    <row r="50" spans="1:7" x14ac:dyDescent="0.4">
      <c r="A50" s="2">
        <v>49</v>
      </c>
      <c r="B50" s="2" t="s">
        <v>934</v>
      </c>
      <c r="C50" s="2" t="str">
        <f>"985-0026"</f>
        <v>985-0026</v>
      </c>
      <c r="D50" s="2" t="str">
        <f>"塩竈市旭町１８－１１"</f>
        <v>塩竈市旭町１８－１１</v>
      </c>
      <c r="E50" s="2" t="str">
        <f>"022-365-3728  "</f>
        <v xml:space="preserve">022-365-3728  </v>
      </c>
      <c r="F50" s="2" t="s">
        <v>6</v>
      </c>
      <c r="G50" s="2" t="s">
        <v>910</v>
      </c>
    </row>
    <row r="51" spans="1:7" ht="37.5" x14ac:dyDescent="0.4">
      <c r="A51" s="2">
        <v>50</v>
      </c>
      <c r="B51" s="2" t="s">
        <v>158</v>
      </c>
      <c r="C51" s="2" t="str">
        <f>"985-0023"</f>
        <v>985-0023</v>
      </c>
      <c r="D51" s="2" t="str">
        <f>"塩竈市花立町　２２－４２"</f>
        <v>塩竈市花立町　２２－４２</v>
      </c>
      <c r="E51" s="2" t="str">
        <f>"022-362-8131  "</f>
        <v xml:space="preserve">022-362-8131  </v>
      </c>
      <c r="F51" s="2" t="s">
        <v>6</v>
      </c>
      <c r="G51" s="2" t="s">
        <v>159</v>
      </c>
    </row>
    <row r="52" spans="1:7" x14ac:dyDescent="0.4">
      <c r="A52" s="2">
        <v>51</v>
      </c>
      <c r="B52" s="2" t="s">
        <v>1184</v>
      </c>
      <c r="C52" s="2" t="str">
        <f>"985-0023"</f>
        <v>985-0023</v>
      </c>
      <c r="D52" s="2" t="str">
        <f>"塩竈市花立町１３－１１"</f>
        <v>塩竈市花立町１３－１１</v>
      </c>
      <c r="E52" s="2" t="str">
        <f>"022-349-9712  "</f>
        <v xml:space="preserve">022-349-9712  </v>
      </c>
      <c r="F52" s="2" t="s">
        <v>9</v>
      </c>
      <c r="G52" s="2" t="s">
        <v>1063</v>
      </c>
    </row>
    <row r="53" spans="1:7" ht="37.5" x14ac:dyDescent="0.4">
      <c r="A53" s="2">
        <v>52</v>
      </c>
      <c r="B53" s="2" t="s">
        <v>185</v>
      </c>
      <c r="C53" s="2" t="str">
        <f>"985-0023"</f>
        <v>985-0023</v>
      </c>
      <c r="D53" s="2" t="s">
        <v>186</v>
      </c>
      <c r="E53" s="2" t="s">
        <v>7</v>
      </c>
      <c r="F53" s="2" t="s">
        <v>6</v>
      </c>
      <c r="G53" s="2" t="s">
        <v>182</v>
      </c>
    </row>
    <row r="54" spans="1:7" x14ac:dyDescent="0.4">
      <c r="A54" s="2">
        <v>53</v>
      </c>
      <c r="B54" s="2" t="s">
        <v>1168</v>
      </c>
      <c r="C54" s="2" t="str">
        <f>"985-0023"</f>
        <v>985-0023</v>
      </c>
      <c r="D54" s="2" t="str">
        <f>"塩竈市花立町２２－５３"</f>
        <v>塩竈市花立町２２－５３</v>
      </c>
      <c r="E54" s="2" t="str">
        <f>"022-367-8461  "</f>
        <v xml:space="preserve">022-367-8461  </v>
      </c>
      <c r="F54" s="2" t="s">
        <v>9</v>
      </c>
      <c r="G54" s="2" t="s">
        <v>1129</v>
      </c>
    </row>
    <row r="55" spans="1:7" ht="37.5" x14ac:dyDescent="0.4">
      <c r="A55" s="2">
        <v>54</v>
      </c>
      <c r="B55" s="2" t="s">
        <v>929</v>
      </c>
      <c r="C55" s="2" t="str">
        <f>"985-0002"</f>
        <v>985-0002</v>
      </c>
      <c r="D55" s="2" t="str">
        <f>"塩竈市海岸通　１０－１三晴ビル２Ｆ"</f>
        <v>塩竈市海岸通　１０－１三晴ビル２Ｆ</v>
      </c>
      <c r="E55" s="2" t="str">
        <f>"022-361-5810  "</f>
        <v xml:space="preserve">022-361-5810  </v>
      </c>
      <c r="F55" s="2" t="s">
        <v>6</v>
      </c>
      <c r="G55" s="2" t="s">
        <v>10</v>
      </c>
    </row>
    <row r="56" spans="1:7" x14ac:dyDescent="0.4">
      <c r="A56" s="2">
        <v>55</v>
      </c>
      <c r="B56" s="2" t="s">
        <v>1176</v>
      </c>
      <c r="C56" s="2" t="str">
        <f>"985-0002"</f>
        <v>985-0002</v>
      </c>
      <c r="D56" s="2" t="s">
        <v>1177</v>
      </c>
      <c r="E56" s="2" t="str">
        <f>"022-361-3508  "</f>
        <v xml:space="preserve">022-361-3508  </v>
      </c>
      <c r="F56" s="2" t="s">
        <v>9</v>
      </c>
      <c r="G56" s="2" t="s">
        <v>1063</v>
      </c>
    </row>
    <row r="57" spans="1:7" x14ac:dyDescent="0.4">
      <c r="A57" s="2">
        <v>56</v>
      </c>
      <c r="B57" s="2" t="s">
        <v>138</v>
      </c>
      <c r="C57" s="2" t="str">
        <f>"985-0051"</f>
        <v>985-0051</v>
      </c>
      <c r="D57" s="2" t="str">
        <f>"塩竈市宮町　３－２５"</f>
        <v>塩竈市宮町　３－２５</v>
      </c>
      <c r="E57" s="2" t="str">
        <f>"022-365-1523  "</f>
        <v xml:space="preserve">022-365-1523  </v>
      </c>
      <c r="F57" s="2" t="s">
        <v>6</v>
      </c>
      <c r="G57" s="2" t="s">
        <v>48</v>
      </c>
    </row>
    <row r="58" spans="1:7" x14ac:dyDescent="0.4">
      <c r="A58" s="2">
        <v>57</v>
      </c>
      <c r="B58" s="2" t="s">
        <v>136</v>
      </c>
      <c r="C58" s="2" t="str">
        <f>"985-0051"</f>
        <v>985-0051</v>
      </c>
      <c r="D58" s="2" t="str">
        <f>"塩竈市宮町２－２８"</f>
        <v>塩竈市宮町２－２８</v>
      </c>
      <c r="E58" s="2" t="str">
        <f>"022-362-0513  "</f>
        <v xml:space="preserve">022-362-0513  </v>
      </c>
      <c r="F58" s="2" t="s">
        <v>6</v>
      </c>
      <c r="G58" s="2" t="s">
        <v>137</v>
      </c>
    </row>
    <row r="59" spans="1:7" x14ac:dyDescent="0.4">
      <c r="A59" s="2">
        <v>58</v>
      </c>
      <c r="B59" s="2" t="s">
        <v>1174</v>
      </c>
      <c r="C59" s="2" t="str">
        <f>"985-0051"</f>
        <v>985-0051</v>
      </c>
      <c r="D59" s="2" t="str">
        <f>"塩竈市宮町3-25"</f>
        <v>塩竈市宮町3-25</v>
      </c>
      <c r="E59" s="2" t="str">
        <f>"022-366-8062  "</f>
        <v xml:space="preserve">022-366-8062  </v>
      </c>
      <c r="F59" s="2" t="s">
        <v>9</v>
      </c>
      <c r="G59" s="2" t="s">
        <v>1063</v>
      </c>
    </row>
    <row r="60" spans="1:7" x14ac:dyDescent="0.4">
      <c r="A60" s="2">
        <v>59</v>
      </c>
      <c r="B60" s="2" t="s">
        <v>173</v>
      </c>
      <c r="C60" s="2" t="str">
        <f>"985-0051"</f>
        <v>985-0051</v>
      </c>
      <c r="D60" s="2" t="s">
        <v>174</v>
      </c>
      <c r="E60" s="2" t="str">
        <f>"022-363-1866  "</f>
        <v xml:space="preserve">022-363-1866  </v>
      </c>
      <c r="F60" s="2" t="s">
        <v>6</v>
      </c>
      <c r="G60" s="2" t="s">
        <v>175</v>
      </c>
    </row>
    <row r="61" spans="1:7" x14ac:dyDescent="0.4">
      <c r="A61" s="2">
        <v>60</v>
      </c>
      <c r="B61" s="2" t="s">
        <v>1163</v>
      </c>
      <c r="C61" s="2" t="str">
        <f>"985-0051"</f>
        <v>985-0051</v>
      </c>
      <c r="D61" s="2" t="str">
        <f>"塩竈市宮町８－１８"</f>
        <v>塩竈市宮町８－１８</v>
      </c>
      <c r="E61" s="2" t="str">
        <f>"022-361-8838  "</f>
        <v xml:space="preserve">022-361-8838  </v>
      </c>
      <c r="F61" s="2" t="s">
        <v>9</v>
      </c>
      <c r="G61" s="2" t="s">
        <v>1063</v>
      </c>
    </row>
    <row r="62" spans="1:7" x14ac:dyDescent="0.4">
      <c r="A62" s="2">
        <v>61</v>
      </c>
      <c r="B62" s="2" t="s">
        <v>162</v>
      </c>
      <c r="C62" s="2" t="str">
        <f>"985-0051"</f>
        <v>985-0051</v>
      </c>
      <c r="D62" s="2" t="s">
        <v>163</v>
      </c>
      <c r="E62" s="2" t="str">
        <f>"022-362-2121  "</f>
        <v xml:space="preserve">022-362-2121  </v>
      </c>
      <c r="F62" s="2" t="s">
        <v>6</v>
      </c>
      <c r="G62" s="2" t="s">
        <v>164</v>
      </c>
    </row>
    <row r="63" spans="1:7" ht="37.5" x14ac:dyDescent="0.4">
      <c r="A63" s="2">
        <v>62</v>
      </c>
      <c r="B63" s="2" t="s">
        <v>1167</v>
      </c>
      <c r="C63" s="2" t="str">
        <f>"985-0042"</f>
        <v>985-0042</v>
      </c>
      <c r="D63" s="2" t="str">
        <f>"塩竈市玉川　１－８－５９"</f>
        <v>塩竈市玉川　１－８－５９</v>
      </c>
      <c r="E63" s="2" t="str">
        <f>"022-361-5527  "</f>
        <v xml:space="preserve">022-361-5527  </v>
      </c>
      <c r="F63" s="2" t="s">
        <v>9</v>
      </c>
      <c r="G63" s="2" t="s">
        <v>1063</v>
      </c>
    </row>
    <row r="64" spans="1:7" ht="37.5" x14ac:dyDescent="0.4">
      <c r="A64" s="2">
        <v>63</v>
      </c>
      <c r="B64" s="2" t="s">
        <v>170</v>
      </c>
      <c r="C64" s="2" t="str">
        <f>"985-0042"</f>
        <v>985-0042</v>
      </c>
      <c r="D64" s="2" t="str">
        <f>"塩竈市玉川　１－９－７"</f>
        <v>塩竈市玉川　１－９－７</v>
      </c>
      <c r="E64" s="2" t="str">
        <f>"022-361-6711  "</f>
        <v xml:space="preserve">022-361-6711  </v>
      </c>
      <c r="F64" s="2" t="s">
        <v>6</v>
      </c>
      <c r="G64" s="2" t="s">
        <v>18</v>
      </c>
    </row>
    <row r="65" spans="1:7" x14ac:dyDescent="0.4">
      <c r="A65" s="2">
        <v>64</v>
      </c>
      <c r="B65" s="2" t="s">
        <v>1170</v>
      </c>
      <c r="C65" s="2" t="str">
        <f>"985-0042"</f>
        <v>985-0042</v>
      </c>
      <c r="D65" s="2" t="str">
        <f>"塩竈市玉川１－９－６３"</f>
        <v>塩竈市玉川１－９－６３</v>
      </c>
      <c r="E65" s="2" t="str">
        <f>"022-364-8791  "</f>
        <v xml:space="preserve">022-364-8791  </v>
      </c>
      <c r="F65" s="2" t="s">
        <v>9</v>
      </c>
      <c r="G65" s="2" t="s">
        <v>1063</v>
      </c>
    </row>
    <row r="66" spans="1:7" ht="37.5" x14ac:dyDescent="0.4">
      <c r="A66" s="2">
        <v>65</v>
      </c>
      <c r="B66" s="2" t="s">
        <v>171</v>
      </c>
      <c r="C66" s="2" t="str">
        <f>"985-0042"</f>
        <v>985-0042</v>
      </c>
      <c r="D66" s="2" t="str">
        <f>"塩竈市玉川１丁目３－３０"</f>
        <v>塩竈市玉川１丁目３－３０</v>
      </c>
      <c r="E66" s="2" t="str">
        <f>"022-365-6201  "</f>
        <v xml:space="preserve">022-365-6201  </v>
      </c>
      <c r="F66" s="2" t="s">
        <v>6</v>
      </c>
      <c r="G66" s="2" t="s">
        <v>172</v>
      </c>
    </row>
    <row r="67" spans="1:7" x14ac:dyDescent="0.4">
      <c r="A67" s="2">
        <v>66</v>
      </c>
      <c r="B67" s="2" t="s">
        <v>935</v>
      </c>
      <c r="C67" s="2" t="str">
        <f>"985-0042"</f>
        <v>985-0042</v>
      </c>
      <c r="D67" s="2" t="str">
        <f>"塩竈市玉川２－６－９"</f>
        <v>塩竈市玉川２－６－９</v>
      </c>
      <c r="E67" s="2" t="str">
        <f>"022-366-5155  "</f>
        <v xml:space="preserve">022-366-5155  </v>
      </c>
      <c r="F67" s="2" t="s">
        <v>6</v>
      </c>
      <c r="G67" s="2" t="s">
        <v>902</v>
      </c>
    </row>
    <row r="68" spans="1:7" x14ac:dyDescent="0.4">
      <c r="A68" s="2">
        <v>67</v>
      </c>
      <c r="B68" s="2" t="s">
        <v>133</v>
      </c>
      <c r="C68" s="2" t="str">
        <f>"985-0024"</f>
        <v>985-0024</v>
      </c>
      <c r="D68" s="2" t="s">
        <v>134</v>
      </c>
      <c r="E68" s="2" t="str">
        <f>"022-365-1361  "</f>
        <v xml:space="preserve">022-365-1361  </v>
      </c>
      <c r="F68" s="2" t="s">
        <v>6</v>
      </c>
      <c r="G68" s="2" t="s">
        <v>135</v>
      </c>
    </row>
    <row r="69" spans="1:7" x14ac:dyDescent="0.4">
      <c r="A69" s="2">
        <v>68</v>
      </c>
      <c r="B69" s="2" t="s">
        <v>1158</v>
      </c>
      <c r="C69" s="2" t="str">
        <f>"985-0024"</f>
        <v>985-0024</v>
      </c>
      <c r="D69" s="2" t="str">
        <f>"塩竈市錦町１４－８"</f>
        <v>塩竈市錦町１４－８</v>
      </c>
      <c r="E69" s="2" t="str">
        <f>"022-362-5678  "</f>
        <v xml:space="preserve">022-362-5678  </v>
      </c>
      <c r="F69" s="2" t="s">
        <v>9</v>
      </c>
      <c r="G69" s="2" t="s">
        <v>1063</v>
      </c>
    </row>
    <row r="70" spans="1:7" x14ac:dyDescent="0.4">
      <c r="A70" s="2">
        <v>69</v>
      </c>
      <c r="B70" s="2" t="s">
        <v>176</v>
      </c>
      <c r="C70" s="2" t="str">
        <f>"985-0024"</f>
        <v>985-0024</v>
      </c>
      <c r="D70" s="2" t="str">
        <f>"塩竈市錦町６－３２"</f>
        <v>塩竈市錦町６－３２</v>
      </c>
      <c r="E70" s="2" t="str">
        <f>"022-366-9638  "</f>
        <v xml:space="preserve">022-366-9638  </v>
      </c>
      <c r="F70" s="2" t="s">
        <v>6</v>
      </c>
      <c r="G70" s="2" t="s">
        <v>100</v>
      </c>
    </row>
    <row r="71" spans="1:7" ht="37.5" x14ac:dyDescent="0.4">
      <c r="A71" s="2">
        <v>70</v>
      </c>
      <c r="B71" s="2" t="s">
        <v>1778</v>
      </c>
      <c r="C71" s="2" t="str">
        <f>"985-0024"</f>
        <v>985-0024</v>
      </c>
      <c r="D71" s="2" t="s">
        <v>1779</v>
      </c>
      <c r="E71" s="2" t="str">
        <f>"022-364-3455  "</f>
        <v xml:space="preserve">022-364-3455  </v>
      </c>
      <c r="F71" s="2" t="s">
        <v>11</v>
      </c>
      <c r="G71" s="2" t="s">
        <v>1151</v>
      </c>
    </row>
    <row r="72" spans="1:7" ht="75" x14ac:dyDescent="0.4">
      <c r="A72" s="2">
        <v>71</v>
      </c>
      <c r="B72" s="2" t="s">
        <v>123</v>
      </c>
      <c r="C72" s="2" t="str">
        <f>"985-0054"</f>
        <v>985-0054</v>
      </c>
      <c r="D72" s="2" t="s">
        <v>124</v>
      </c>
      <c r="E72" s="2" t="str">
        <f>"022-364-5521  "</f>
        <v xml:space="preserve">022-364-5521  </v>
      </c>
      <c r="F72" s="2" t="s">
        <v>6</v>
      </c>
      <c r="G72" s="2" t="s">
        <v>125</v>
      </c>
    </row>
    <row r="73" spans="1:7" x14ac:dyDescent="0.4">
      <c r="A73" s="2">
        <v>72</v>
      </c>
      <c r="B73" s="2" t="s">
        <v>1162</v>
      </c>
      <c r="C73" s="2" t="str">
        <f>"985-0025"</f>
        <v>985-0025</v>
      </c>
      <c r="D73" s="2" t="str">
        <f>"塩竈市佐浦町１４－２１"</f>
        <v>塩竈市佐浦町１４－２１</v>
      </c>
      <c r="E73" s="2" t="str">
        <f>"022-361-6677  "</f>
        <v xml:space="preserve">022-361-6677  </v>
      </c>
      <c r="F73" s="2" t="s">
        <v>9</v>
      </c>
      <c r="G73" s="2" t="s">
        <v>1063</v>
      </c>
    </row>
    <row r="74" spans="1:7" x14ac:dyDescent="0.4">
      <c r="A74" s="2">
        <v>73</v>
      </c>
      <c r="B74" s="2" t="s">
        <v>1172</v>
      </c>
      <c r="C74" s="2" t="str">
        <f>"985-0087"</f>
        <v>985-0087</v>
      </c>
      <c r="D74" s="2" t="str">
        <f>"塩竈市字伊保石２１-１"</f>
        <v>塩竈市字伊保石２１-１</v>
      </c>
      <c r="E74" s="2" t="str">
        <f>"022-362-3080  "</f>
        <v xml:space="preserve">022-362-3080  </v>
      </c>
      <c r="F74" s="2" t="s">
        <v>9</v>
      </c>
      <c r="G74" s="2" t="s">
        <v>1129</v>
      </c>
    </row>
    <row r="75" spans="1:7" ht="37.5" x14ac:dyDescent="0.4">
      <c r="A75" s="2">
        <v>74</v>
      </c>
      <c r="B75" s="2" t="s">
        <v>177</v>
      </c>
      <c r="C75" s="2" t="str">
        <f>"985-0087"</f>
        <v>985-0087</v>
      </c>
      <c r="D75" s="2" t="s">
        <v>178</v>
      </c>
      <c r="E75" s="2" t="str">
        <f>"022-367-7611  "</f>
        <v xml:space="preserve">022-367-7611  </v>
      </c>
      <c r="F75" s="2" t="s">
        <v>6</v>
      </c>
      <c r="G75" s="2" t="s">
        <v>179</v>
      </c>
    </row>
    <row r="76" spans="1:7" ht="37.5" x14ac:dyDescent="0.4">
      <c r="A76" s="2">
        <v>75</v>
      </c>
      <c r="B76" s="2" t="s">
        <v>1783</v>
      </c>
      <c r="C76" s="2" t="str">
        <f>"985-0087"</f>
        <v>985-0087</v>
      </c>
      <c r="D76" s="2" t="str">
        <f>"塩竈市字伊保石２－４４１"</f>
        <v>塩竈市字伊保石２－４４１</v>
      </c>
      <c r="E76" s="2" t="str">
        <f>"022-200-6376  "</f>
        <v xml:space="preserve">022-200-6376  </v>
      </c>
      <c r="F76" s="2" t="s">
        <v>11</v>
      </c>
      <c r="G76" s="2" t="s">
        <v>1151</v>
      </c>
    </row>
    <row r="77" spans="1:7" x14ac:dyDescent="0.4">
      <c r="A77" s="2">
        <v>76</v>
      </c>
      <c r="B77" s="2" t="s">
        <v>1171</v>
      </c>
      <c r="C77" s="2" t="str">
        <f>"985-0071"</f>
        <v>985-0071</v>
      </c>
      <c r="D77" s="2" t="str">
        <f>"塩竈市松陽台1-1-2-1"</f>
        <v>塩竈市松陽台1-1-2-1</v>
      </c>
      <c r="E77" s="2" t="str">
        <f>"022-362-5718  "</f>
        <v xml:space="preserve">022-362-5718  </v>
      </c>
      <c r="F77" s="2" t="s">
        <v>9</v>
      </c>
      <c r="G77" s="2" t="s">
        <v>1063</v>
      </c>
    </row>
    <row r="78" spans="1:7" ht="37.5" x14ac:dyDescent="0.4">
      <c r="A78" s="2">
        <v>77</v>
      </c>
      <c r="B78" s="2" t="s">
        <v>183</v>
      </c>
      <c r="C78" s="2" t="str">
        <f>"985-0071"</f>
        <v>985-0071</v>
      </c>
      <c r="D78" s="2" t="str">
        <f>"塩竈市松陽台一丁目1番2-2号"</f>
        <v>塩竈市松陽台一丁目1番2-2号</v>
      </c>
      <c r="E78" s="2" t="str">
        <f>"022-365-7188  "</f>
        <v xml:space="preserve">022-365-7188  </v>
      </c>
      <c r="F78" s="2" t="s">
        <v>6</v>
      </c>
      <c r="G78" s="2" t="s">
        <v>184</v>
      </c>
    </row>
    <row r="79" spans="1:7" ht="37.5" x14ac:dyDescent="0.4">
      <c r="A79" s="2">
        <v>78</v>
      </c>
      <c r="B79" s="2" t="s">
        <v>1156</v>
      </c>
      <c r="C79" s="2" t="str">
        <f>"985-0001"</f>
        <v>985-0001</v>
      </c>
      <c r="D79" s="2" t="s">
        <v>1157</v>
      </c>
      <c r="E79" s="2" t="str">
        <f>"022-362-6952  "</f>
        <v xml:space="preserve">022-362-6952  </v>
      </c>
      <c r="F79" s="2" t="s">
        <v>9</v>
      </c>
      <c r="G79" s="2" t="s">
        <v>1063</v>
      </c>
    </row>
    <row r="80" spans="1:7" ht="37.5" x14ac:dyDescent="0.4">
      <c r="A80" s="2">
        <v>79</v>
      </c>
      <c r="B80" s="2" t="s">
        <v>1159</v>
      </c>
      <c r="C80" s="2" t="str">
        <f>"985-0001"</f>
        <v>985-0001</v>
      </c>
      <c r="D80" s="2" t="str">
        <f>"塩竈市新浜町　１－６－１０"</f>
        <v>塩竈市新浜町　１－６－１０</v>
      </c>
      <c r="E80" s="2" t="str">
        <f>"022-362-1568  "</f>
        <v xml:space="preserve">022-362-1568  </v>
      </c>
      <c r="F80" s="2" t="s">
        <v>9</v>
      </c>
      <c r="G80" s="2" t="s">
        <v>1063</v>
      </c>
    </row>
    <row r="81" spans="1:7" ht="37.5" x14ac:dyDescent="0.4">
      <c r="A81" s="2">
        <v>80</v>
      </c>
      <c r="B81" s="2" t="s">
        <v>168</v>
      </c>
      <c r="C81" s="2" t="str">
        <f>"985-0061"</f>
        <v>985-0061</v>
      </c>
      <c r="D81" s="2" t="str">
        <f>"塩竈市清水沢４－３７－２０"</f>
        <v>塩竈市清水沢４－３７－２０</v>
      </c>
      <c r="E81" s="2" t="str">
        <f>"022-361-8201  "</f>
        <v xml:space="preserve">022-361-8201  </v>
      </c>
      <c r="F81" s="2" t="s">
        <v>6</v>
      </c>
      <c r="G81" s="2" t="s">
        <v>169</v>
      </c>
    </row>
    <row r="82" spans="1:7" ht="37.5" x14ac:dyDescent="0.4">
      <c r="A82" s="2">
        <v>81</v>
      </c>
      <c r="B82" s="2" t="s">
        <v>131</v>
      </c>
      <c r="C82" s="2" t="str">
        <f>"985-0045"</f>
        <v>985-0045</v>
      </c>
      <c r="D82" s="2" t="str">
        <f>"塩竈市西玉川町　１－１６"</f>
        <v>塩竈市西玉川町　１－１６</v>
      </c>
      <c r="E82" s="2" t="str">
        <f>"022-352-1580  "</f>
        <v xml:space="preserve">022-352-1580  </v>
      </c>
      <c r="F82" s="2" t="s">
        <v>6</v>
      </c>
      <c r="G82" s="2" t="s">
        <v>132</v>
      </c>
    </row>
    <row r="83" spans="1:7" ht="37.5" x14ac:dyDescent="0.4">
      <c r="A83" s="2">
        <v>82</v>
      </c>
      <c r="B83" s="2" t="s">
        <v>925</v>
      </c>
      <c r="C83" s="2" t="str">
        <f>"985-0062"</f>
        <v>985-0062</v>
      </c>
      <c r="D83" s="2" t="str">
        <f>"塩竈市泉沢町　１７－１５"</f>
        <v>塩竈市泉沢町　１７－１５</v>
      </c>
      <c r="E83" s="2" t="str">
        <f>"022-363-2306  "</f>
        <v xml:space="preserve">022-363-2306  </v>
      </c>
      <c r="F83" s="2" t="s">
        <v>6</v>
      </c>
      <c r="G83" s="2" t="s">
        <v>10</v>
      </c>
    </row>
    <row r="84" spans="1:7" ht="37.5" x14ac:dyDescent="0.4">
      <c r="A84" s="2">
        <v>83</v>
      </c>
      <c r="B84" s="2" t="s">
        <v>165</v>
      </c>
      <c r="C84" s="2" t="str">
        <f>"985-0036"</f>
        <v>985-0036</v>
      </c>
      <c r="D84" s="2" t="s">
        <v>166</v>
      </c>
      <c r="E84" s="2" t="str">
        <f>"022-361-3577  "</f>
        <v xml:space="preserve">022-361-3577  </v>
      </c>
      <c r="F84" s="2" t="s">
        <v>6</v>
      </c>
      <c r="G84" s="2" t="s">
        <v>167</v>
      </c>
    </row>
    <row r="85" spans="1:7" x14ac:dyDescent="0.4">
      <c r="A85" s="2">
        <v>84</v>
      </c>
      <c r="B85" s="2" t="s">
        <v>1161</v>
      </c>
      <c r="C85" s="2" t="str">
        <f>"985-0036"</f>
        <v>985-0036</v>
      </c>
      <c r="D85" s="2" t="str">
        <f>"塩竈市東玉川町２－１３"</f>
        <v>塩竈市東玉川町２－１３</v>
      </c>
      <c r="E85" s="2" t="str">
        <f>"022-366-3819  "</f>
        <v xml:space="preserve">022-366-3819  </v>
      </c>
      <c r="F85" s="2" t="s">
        <v>9</v>
      </c>
      <c r="G85" s="2" t="s">
        <v>1063</v>
      </c>
    </row>
    <row r="86" spans="1:7" ht="37.5" x14ac:dyDescent="0.4">
      <c r="A86" s="2">
        <v>85</v>
      </c>
      <c r="B86" s="2" t="s">
        <v>1166</v>
      </c>
      <c r="C86" s="2" t="str">
        <f>"985-0004"</f>
        <v>985-0004</v>
      </c>
      <c r="D86" s="2" t="str">
        <f>"塩竈市藤倉　２－１４－４２"</f>
        <v>塩竈市藤倉　２－１４－４２</v>
      </c>
      <c r="E86" s="2" t="str">
        <f>"022-361-3094  "</f>
        <v xml:space="preserve">022-361-3094  </v>
      </c>
      <c r="F86" s="2" t="s">
        <v>9</v>
      </c>
      <c r="G86" s="2" t="s">
        <v>1063</v>
      </c>
    </row>
    <row r="87" spans="1:7" ht="37.5" x14ac:dyDescent="0.4">
      <c r="A87" s="2">
        <v>86</v>
      </c>
      <c r="B87" s="2" t="s">
        <v>156</v>
      </c>
      <c r="C87" s="2" t="str">
        <f>"985-0004"</f>
        <v>985-0004</v>
      </c>
      <c r="D87" s="2" t="s">
        <v>157</v>
      </c>
      <c r="E87" s="2" t="str">
        <f>"022-365-6818  "</f>
        <v xml:space="preserve">022-365-6818  </v>
      </c>
      <c r="F87" s="2" t="s">
        <v>6</v>
      </c>
      <c r="G87" s="2" t="s">
        <v>18</v>
      </c>
    </row>
    <row r="88" spans="1:7" ht="37.5" x14ac:dyDescent="0.4">
      <c r="A88" s="2">
        <v>87</v>
      </c>
      <c r="B88" s="2" t="s">
        <v>146</v>
      </c>
      <c r="C88" s="2" t="str">
        <f>"985-0004"</f>
        <v>985-0004</v>
      </c>
      <c r="D88" s="2" t="s">
        <v>147</v>
      </c>
      <c r="E88" s="2" t="str">
        <f>"022-367-1110  "</f>
        <v xml:space="preserve">022-367-1110  </v>
      </c>
      <c r="F88" s="2" t="s">
        <v>6</v>
      </c>
      <c r="G88" s="2" t="s">
        <v>148</v>
      </c>
    </row>
    <row r="89" spans="1:7" ht="37.5" x14ac:dyDescent="0.4">
      <c r="A89" s="2">
        <v>88</v>
      </c>
      <c r="B89" s="2" t="s">
        <v>143</v>
      </c>
      <c r="C89" s="2" t="str">
        <f>"985-0004"</f>
        <v>985-0004</v>
      </c>
      <c r="D89" s="2" t="s">
        <v>144</v>
      </c>
      <c r="E89" s="2" t="str">
        <f>"022-365-9005  "</f>
        <v xml:space="preserve">022-365-9005  </v>
      </c>
      <c r="F89" s="2" t="s">
        <v>6</v>
      </c>
      <c r="G89" s="2" t="s">
        <v>145</v>
      </c>
    </row>
    <row r="90" spans="1:7" x14ac:dyDescent="0.4">
      <c r="A90" s="2">
        <v>89</v>
      </c>
      <c r="B90" s="2" t="s">
        <v>931</v>
      </c>
      <c r="C90" s="2" t="str">
        <f>"985-0004"</f>
        <v>985-0004</v>
      </c>
      <c r="D90" s="2" t="s">
        <v>932</v>
      </c>
      <c r="E90" s="2" t="str">
        <f>"022-367-1774  "</f>
        <v xml:space="preserve">022-367-1774  </v>
      </c>
      <c r="F90" s="2" t="s">
        <v>6</v>
      </c>
      <c r="G90" s="2" t="s">
        <v>933</v>
      </c>
    </row>
    <row r="91" spans="1:7" x14ac:dyDescent="0.4">
      <c r="A91" s="2">
        <v>90</v>
      </c>
      <c r="B91" s="2" t="s">
        <v>1185</v>
      </c>
      <c r="C91" s="2" t="str">
        <f>"985-0004"</f>
        <v>985-0004</v>
      </c>
      <c r="D91" s="2" t="str">
        <f>"塩竈市藤倉２－４－２２"</f>
        <v>塩竈市藤倉２－４－２２</v>
      </c>
      <c r="E91" s="2" t="str">
        <f>"022-357-0770  "</f>
        <v xml:space="preserve">022-357-0770  </v>
      </c>
      <c r="F91" s="2" t="s">
        <v>9</v>
      </c>
      <c r="G91" s="2" t="s">
        <v>1063</v>
      </c>
    </row>
    <row r="92" spans="1:7" x14ac:dyDescent="0.4">
      <c r="A92" s="2">
        <v>91</v>
      </c>
      <c r="B92" s="2" t="s">
        <v>1169</v>
      </c>
      <c r="C92" s="2" t="str">
        <f>"985-0004"</f>
        <v>985-0004</v>
      </c>
      <c r="D92" s="2" t="str">
        <f>"塩竈市藤倉３－１７－６"</f>
        <v>塩竈市藤倉３－１７－６</v>
      </c>
      <c r="E92" s="2" t="str">
        <f>"022-367-1166  "</f>
        <v xml:space="preserve">022-367-1166  </v>
      </c>
      <c r="F92" s="2" t="s">
        <v>9</v>
      </c>
      <c r="G92" s="2" t="s">
        <v>1063</v>
      </c>
    </row>
    <row r="93" spans="1:7" x14ac:dyDescent="0.4">
      <c r="A93" s="2">
        <v>92</v>
      </c>
      <c r="B93" s="2" t="s">
        <v>1182</v>
      </c>
      <c r="C93" s="2" t="str">
        <f>"985-0004"</f>
        <v>985-0004</v>
      </c>
      <c r="D93" s="2" t="str">
        <f>"塩竈市藤倉三丁目６－１"</f>
        <v>塩竈市藤倉三丁目６－１</v>
      </c>
      <c r="E93" s="2" t="str">
        <f>"022-385-5535  "</f>
        <v xml:space="preserve">022-385-5535  </v>
      </c>
      <c r="F93" s="2" t="s">
        <v>9</v>
      </c>
      <c r="G93" s="2" t="s">
        <v>1129</v>
      </c>
    </row>
    <row r="94" spans="1:7" ht="37.5" x14ac:dyDescent="0.4">
      <c r="A94" s="2">
        <v>93</v>
      </c>
      <c r="B94" s="2" t="s">
        <v>160</v>
      </c>
      <c r="C94" s="2" t="str">
        <f>"985-0034"</f>
        <v>985-0034</v>
      </c>
      <c r="D94" s="2" t="s">
        <v>161</v>
      </c>
      <c r="E94" s="2" t="str">
        <f>"022-361-0211  "</f>
        <v xml:space="preserve">022-361-0211  </v>
      </c>
      <c r="F94" s="2" t="s">
        <v>6</v>
      </c>
      <c r="G94" s="2" t="s">
        <v>34</v>
      </c>
    </row>
    <row r="95" spans="1:7" x14ac:dyDescent="0.4">
      <c r="A95" s="2">
        <v>94</v>
      </c>
      <c r="B95" s="2" t="s">
        <v>1165</v>
      </c>
      <c r="C95" s="2" t="str">
        <f>"985-0034"</f>
        <v>985-0034</v>
      </c>
      <c r="D95" s="2" t="str">
        <f>"塩竈市南錦町　８－９"</f>
        <v>塩竈市南錦町　８－９</v>
      </c>
      <c r="E95" s="2" t="str">
        <f>"022-361-6206  "</f>
        <v xml:space="preserve">022-361-6206  </v>
      </c>
      <c r="F95" s="2" t="s">
        <v>9</v>
      </c>
      <c r="G95" s="2" t="s">
        <v>1063</v>
      </c>
    </row>
    <row r="96" spans="1:7" x14ac:dyDescent="0.4">
      <c r="A96" s="2">
        <v>95</v>
      </c>
      <c r="B96" s="2" t="s">
        <v>924</v>
      </c>
      <c r="C96" s="2" t="str">
        <f>"985-0053"</f>
        <v>985-0053</v>
      </c>
      <c r="D96" s="2" t="str">
        <f>"塩竈市南町５－１０"</f>
        <v>塩竈市南町５－１０</v>
      </c>
      <c r="E96" s="2" t="str">
        <f>"022-362-4571  "</f>
        <v xml:space="preserve">022-362-4571  </v>
      </c>
      <c r="F96" s="2" t="s">
        <v>10</v>
      </c>
      <c r="G96" s="2" t="s">
        <v>10</v>
      </c>
    </row>
    <row r="97" spans="1:7" ht="37.5" x14ac:dyDescent="0.4">
      <c r="A97" s="2">
        <v>96</v>
      </c>
      <c r="B97" s="2" t="s">
        <v>930</v>
      </c>
      <c r="C97" s="2" t="str">
        <f>"985-0077"</f>
        <v>985-0077</v>
      </c>
      <c r="D97" s="2" t="str">
        <f>"塩竈市梅の宮　１４－１０"</f>
        <v>塩竈市梅の宮　１４－１０</v>
      </c>
      <c r="E97" s="2" t="str">
        <f>"022-361-1251  "</f>
        <v xml:space="preserve">022-361-1251  </v>
      </c>
      <c r="F97" s="2" t="s">
        <v>6</v>
      </c>
      <c r="G97" s="2" t="s">
        <v>10</v>
      </c>
    </row>
    <row r="98" spans="1:7" x14ac:dyDescent="0.4">
      <c r="A98" s="2">
        <v>97</v>
      </c>
      <c r="B98" s="2" t="s">
        <v>1160</v>
      </c>
      <c r="C98" s="2" t="str">
        <f>"985-0032"</f>
        <v>985-0032</v>
      </c>
      <c r="D98" s="2" t="str">
        <f>"塩竈市白萩町９－２"</f>
        <v>塩竈市白萩町９－２</v>
      </c>
      <c r="E98" s="2" t="str">
        <f>"022-366-8822  "</f>
        <v xml:space="preserve">022-366-8822  </v>
      </c>
      <c r="F98" s="2" t="s">
        <v>9</v>
      </c>
      <c r="G98" s="2" t="s">
        <v>1063</v>
      </c>
    </row>
    <row r="99" spans="1:7" ht="37.5" x14ac:dyDescent="0.4">
      <c r="A99" s="2">
        <v>98</v>
      </c>
      <c r="B99" s="2" t="s">
        <v>129</v>
      </c>
      <c r="C99" s="2" t="str">
        <f>"985-0021"</f>
        <v>985-0021</v>
      </c>
      <c r="D99" s="2" t="s">
        <v>130</v>
      </c>
      <c r="E99" s="2" t="str">
        <f>"022-364-8905  "</f>
        <v xml:space="preserve">022-364-8905  </v>
      </c>
      <c r="F99" s="2" t="s">
        <v>6</v>
      </c>
      <c r="G99" s="2" t="s">
        <v>38</v>
      </c>
    </row>
    <row r="100" spans="1:7" x14ac:dyDescent="0.4">
      <c r="A100" s="2">
        <v>99</v>
      </c>
      <c r="B100" s="2" t="s">
        <v>140</v>
      </c>
      <c r="C100" s="2" t="str">
        <f>"985-0021"</f>
        <v>985-0021</v>
      </c>
      <c r="D100" s="2" t="s">
        <v>141</v>
      </c>
      <c r="E100" s="2" t="str">
        <f>"022-364-8986  "</f>
        <v xml:space="preserve">022-364-8986  </v>
      </c>
      <c r="F100" s="2" t="s">
        <v>6</v>
      </c>
      <c r="G100" s="2" t="s">
        <v>142</v>
      </c>
    </row>
    <row r="101" spans="1:7" x14ac:dyDescent="0.4">
      <c r="A101" s="2">
        <v>100</v>
      </c>
      <c r="B101" s="2" t="s">
        <v>151</v>
      </c>
      <c r="C101" s="2" t="str">
        <f>"985-0021"</f>
        <v>985-0021</v>
      </c>
      <c r="D101" s="2" t="s">
        <v>152</v>
      </c>
      <c r="E101" s="2" t="str">
        <f>"022-362-8784  "</f>
        <v xml:space="preserve">022-362-8784  </v>
      </c>
      <c r="F101" s="2" t="s">
        <v>6</v>
      </c>
      <c r="G101" s="2" t="s">
        <v>48</v>
      </c>
    </row>
    <row r="102" spans="1:7" x14ac:dyDescent="0.4">
      <c r="A102" s="2">
        <v>101</v>
      </c>
      <c r="B102" s="2" t="s">
        <v>1153</v>
      </c>
      <c r="C102" s="2" t="str">
        <f>"985-0003"</f>
        <v>985-0003</v>
      </c>
      <c r="D102" s="2" t="s">
        <v>1154</v>
      </c>
      <c r="E102" s="2" t="str">
        <f>"022-362-1854  "</f>
        <v xml:space="preserve">022-362-1854  </v>
      </c>
      <c r="F102" s="2" t="s">
        <v>9</v>
      </c>
      <c r="G102" s="2" t="s">
        <v>1063</v>
      </c>
    </row>
    <row r="103" spans="1:7" x14ac:dyDescent="0.4">
      <c r="A103" s="2">
        <v>102</v>
      </c>
      <c r="B103" s="2" t="s">
        <v>1155</v>
      </c>
      <c r="C103" s="2" t="str">
        <f>"985-0003"</f>
        <v>985-0003</v>
      </c>
      <c r="D103" s="2" t="str">
        <f>"塩竈市北浜１－６－１１"</f>
        <v>塩竈市北浜１－６－１１</v>
      </c>
      <c r="E103" s="2" t="str">
        <f>"022-363-1993  "</f>
        <v xml:space="preserve">022-363-1993  </v>
      </c>
      <c r="F103" s="2" t="s">
        <v>9</v>
      </c>
      <c r="G103" s="2" t="s">
        <v>1063</v>
      </c>
    </row>
    <row r="104" spans="1:7" x14ac:dyDescent="0.4">
      <c r="A104" s="2">
        <v>103</v>
      </c>
      <c r="B104" s="2" t="s">
        <v>149</v>
      </c>
      <c r="C104" s="2" t="str">
        <f>"985-0003"</f>
        <v>985-0003</v>
      </c>
      <c r="D104" s="2" t="str">
        <f>"塩竈市北浜１－６－９"</f>
        <v>塩竈市北浜１－６－９</v>
      </c>
      <c r="E104" s="2" t="str">
        <f>"022-362-1715  "</f>
        <v xml:space="preserve">022-362-1715  </v>
      </c>
      <c r="F104" s="2" t="s">
        <v>6</v>
      </c>
      <c r="G104" s="2" t="s">
        <v>150</v>
      </c>
    </row>
    <row r="105" spans="1:7" x14ac:dyDescent="0.4">
      <c r="A105" s="2">
        <v>104</v>
      </c>
      <c r="B105" s="2" t="s">
        <v>1173</v>
      </c>
      <c r="C105" s="2" t="str">
        <f>"985-0003"</f>
        <v>985-0003</v>
      </c>
      <c r="D105" s="2" t="str">
        <f>"塩竈市北浜１－７－６"</f>
        <v>塩竈市北浜１－７－６</v>
      </c>
      <c r="E105" s="2" t="str">
        <f>"022-355-9595  "</f>
        <v xml:space="preserve">022-355-9595  </v>
      </c>
      <c r="F105" s="2" t="s">
        <v>9</v>
      </c>
      <c r="G105" s="2" t="s">
        <v>1063</v>
      </c>
    </row>
    <row r="106" spans="1:7" ht="37.5" x14ac:dyDescent="0.4">
      <c r="A106" s="2">
        <v>105</v>
      </c>
      <c r="B106" s="2" t="s">
        <v>180</v>
      </c>
      <c r="C106" s="2" t="str">
        <f>"985-0003"</f>
        <v>985-0003</v>
      </c>
      <c r="D106" s="2" t="s">
        <v>181</v>
      </c>
      <c r="E106" s="2" t="str">
        <f>"022-355-9933  "</f>
        <v xml:space="preserve">022-355-9933  </v>
      </c>
      <c r="F106" s="2" t="s">
        <v>6</v>
      </c>
      <c r="G106" s="2" t="s">
        <v>182</v>
      </c>
    </row>
    <row r="107" spans="1:7" ht="56.25" x14ac:dyDescent="0.4">
      <c r="A107" s="2">
        <v>106</v>
      </c>
      <c r="B107" s="2" t="s">
        <v>926</v>
      </c>
      <c r="C107" s="2" t="str">
        <f>"985-0052"</f>
        <v>985-0052</v>
      </c>
      <c r="D107" s="2" t="s">
        <v>927</v>
      </c>
      <c r="E107" s="2" t="str">
        <f>"022-367-9501  "</f>
        <v xml:space="preserve">022-367-9501  </v>
      </c>
      <c r="F107" s="2" t="s">
        <v>6</v>
      </c>
      <c r="G107" s="2" t="s">
        <v>928</v>
      </c>
    </row>
    <row r="108" spans="1:7" ht="37.5" x14ac:dyDescent="0.4">
      <c r="A108" s="2">
        <v>107</v>
      </c>
      <c r="B108" s="2" t="s">
        <v>153</v>
      </c>
      <c r="C108" s="2" t="str">
        <f>"985-0052"</f>
        <v>985-0052</v>
      </c>
      <c r="D108" s="2" t="s">
        <v>154</v>
      </c>
      <c r="E108" s="2" t="str">
        <f>"022-364-1760  "</f>
        <v xml:space="preserve">022-364-1760  </v>
      </c>
      <c r="F108" s="2" t="s">
        <v>6</v>
      </c>
      <c r="G108" s="2" t="s">
        <v>155</v>
      </c>
    </row>
    <row r="109" spans="1:7" x14ac:dyDescent="0.4">
      <c r="A109" s="2">
        <v>108</v>
      </c>
      <c r="B109" s="2" t="s">
        <v>1178</v>
      </c>
      <c r="C109" s="2" t="str">
        <f>"985-0052"</f>
        <v>985-0052</v>
      </c>
      <c r="D109" s="2" t="s">
        <v>1179</v>
      </c>
      <c r="E109" s="2" t="str">
        <f>"022-367-6883  "</f>
        <v xml:space="preserve">022-367-6883  </v>
      </c>
      <c r="F109" s="2" t="s">
        <v>9</v>
      </c>
      <c r="G109" s="2" t="s">
        <v>1129</v>
      </c>
    </row>
    <row r="110" spans="1:7" ht="37.5" x14ac:dyDescent="0.4">
      <c r="A110" s="2">
        <v>109</v>
      </c>
      <c r="B110" s="2" t="s">
        <v>894</v>
      </c>
      <c r="C110" s="2" t="str">
        <f>"986-2243"</f>
        <v>986-2243</v>
      </c>
      <c r="D110" s="2" t="s">
        <v>895</v>
      </c>
      <c r="E110" s="2" t="str">
        <f>"0225-53-5511  "</f>
        <v xml:space="preserve">0225-53-5511  </v>
      </c>
      <c r="F110" s="2" t="s">
        <v>6</v>
      </c>
      <c r="G110" s="2" t="s">
        <v>896</v>
      </c>
    </row>
    <row r="111" spans="1:7" ht="37.5" x14ac:dyDescent="0.4">
      <c r="A111" s="2">
        <v>110</v>
      </c>
      <c r="B111" s="2" t="s">
        <v>1049</v>
      </c>
      <c r="C111" s="2" t="str">
        <f>"981-4262"</f>
        <v>981-4262</v>
      </c>
      <c r="D111" s="2" t="str">
        <f>"加美郡加美町一本杉　３３２－３"</f>
        <v>加美郡加美町一本杉　３３２－３</v>
      </c>
      <c r="E111" s="2" t="str">
        <f>"0229-63-7553  "</f>
        <v xml:space="preserve">0229-63-7553  </v>
      </c>
      <c r="F111" s="2" t="s">
        <v>6</v>
      </c>
      <c r="G111" s="2" t="s">
        <v>10</v>
      </c>
    </row>
    <row r="112" spans="1:7" ht="37.5" x14ac:dyDescent="0.4">
      <c r="A112" s="2">
        <v>111</v>
      </c>
      <c r="B112" s="2" t="s">
        <v>1048</v>
      </c>
      <c r="C112" s="2" t="str">
        <f>"981-4401"</f>
        <v>981-4401</v>
      </c>
      <c r="D112" s="2" t="str">
        <f>"加美郡加美町宮崎字屋敷　５－２１－３"</f>
        <v>加美郡加美町宮崎字屋敷　５－２１－３</v>
      </c>
      <c r="E112" s="2" t="str">
        <f>"0229-69-5630  "</f>
        <v xml:space="preserve">0229-69-5630  </v>
      </c>
      <c r="F112" s="2" t="s">
        <v>6</v>
      </c>
      <c r="G112" s="2" t="s">
        <v>10</v>
      </c>
    </row>
    <row r="113" spans="1:7" ht="37.5" x14ac:dyDescent="0.4">
      <c r="A113" s="2">
        <v>112</v>
      </c>
      <c r="B113" s="2" t="s">
        <v>1741</v>
      </c>
      <c r="C113" s="2" t="str">
        <f>"981-4401"</f>
        <v>981-4401</v>
      </c>
      <c r="D113" s="2" t="str">
        <f>"加美郡加美町宮崎字屋敷16－5"</f>
        <v>加美郡加美町宮崎字屋敷16－5</v>
      </c>
      <c r="E113" s="2" t="str">
        <f>"0229-68-2285  "</f>
        <v xml:space="preserve">0229-68-2285  </v>
      </c>
      <c r="F113" s="2" t="s">
        <v>9</v>
      </c>
      <c r="G113" s="2" t="s">
        <v>1129</v>
      </c>
    </row>
    <row r="114" spans="1:7" ht="37.5" x14ac:dyDescent="0.4">
      <c r="A114" s="2">
        <v>113</v>
      </c>
      <c r="B114" s="2" t="s">
        <v>858</v>
      </c>
      <c r="C114" s="2" t="str">
        <f>"981-4401"</f>
        <v>981-4401</v>
      </c>
      <c r="D114" s="2" t="str">
        <f>"加美郡加美町宮崎字屋敷五番２１－２"</f>
        <v>加美郡加美町宮崎字屋敷五番２１－２</v>
      </c>
      <c r="E114" s="2" t="str">
        <f>"0229-68-2121  "</f>
        <v xml:space="preserve">0229-68-2121  </v>
      </c>
      <c r="F114" s="2" t="s">
        <v>6</v>
      </c>
      <c r="G114" s="2" t="s">
        <v>395</v>
      </c>
    </row>
    <row r="115" spans="1:7" x14ac:dyDescent="0.4">
      <c r="A115" s="2">
        <v>114</v>
      </c>
      <c r="B115" s="2" t="s">
        <v>1738</v>
      </c>
      <c r="C115" s="2" t="str">
        <f>"981-4234"</f>
        <v>981-4234</v>
      </c>
      <c r="D115" s="2" t="str">
        <f>"加美郡加美町旧舘1-74-23"</f>
        <v>加美郡加美町旧舘1-74-23</v>
      </c>
      <c r="E115" s="2" t="str">
        <f>"0229-87-5223  "</f>
        <v xml:space="preserve">0229-87-5223  </v>
      </c>
      <c r="F115" s="2" t="s">
        <v>9</v>
      </c>
      <c r="G115" s="2" t="s">
        <v>1063</v>
      </c>
    </row>
    <row r="116" spans="1:7" ht="37.5" x14ac:dyDescent="0.4">
      <c r="A116" s="2">
        <v>115</v>
      </c>
      <c r="B116" s="2" t="s">
        <v>855</v>
      </c>
      <c r="C116" s="2" t="str">
        <f>"981-4234"</f>
        <v>981-4234</v>
      </c>
      <c r="D116" s="2" t="s">
        <v>856</v>
      </c>
      <c r="E116" s="2" t="str">
        <f>"0229-63-2025  "</f>
        <v xml:space="preserve">0229-63-2025  </v>
      </c>
      <c r="F116" s="2" t="s">
        <v>6</v>
      </c>
      <c r="G116" s="2" t="s">
        <v>50</v>
      </c>
    </row>
    <row r="117" spans="1:7" ht="37.5" x14ac:dyDescent="0.4">
      <c r="A117" s="2">
        <v>116</v>
      </c>
      <c r="B117" s="2" t="s">
        <v>859</v>
      </c>
      <c r="C117" s="2" t="str">
        <f>"981-4351"</f>
        <v>981-4351</v>
      </c>
      <c r="D117" s="2" t="str">
        <f>"加美郡加美町字下原３８－３"</f>
        <v>加美郡加美町字下原３８－３</v>
      </c>
      <c r="E117" s="2" t="str">
        <f>"0229-67-2228  "</f>
        <v xml:space="preserve">0229-67-2228  </v>
      </c>
      <c r="F117" s="2" t="s">
        <v>6</v>
      </c>
      <c r="G117" s="2" t="s">
        <v>860</v>
      </c>
    </row>
    <row r="118" spans="1:7" ht="37.5" x14ac:dyDescent="0.4">
      <c r="A118" s="2">
        <v>117</v>
      </c>
      <c r="B118" s="2" t="s">
        <v>1046</v>
      </c>
      <c r="C118" s="2" t="str">
        <f>"981-4302"</f>
        <v>981-4302</v>
      </c>
      <c r="D118" s="2" t="s">
        <v>1047</v>
      </c>
      <c r="E118" s="2" t="str">
        <f>"0229-67-6970  "</f>
        <v xml:space="preserve">0229-67-6970  </v>
      </c>
      <c r="F118" s="2" t="s">
        <v>6</v>
      </c>
      <c r="G118" s="2" t="s">
        <v>10</v>
      </c>
    </row>
    <row r="119" spans="1:7" ht="37.5" x14ac:dyDescent="0.4">
      <c r="A119" s="2">
        <v>118</v>
      </c>
      <c r="B119" s="2" t="s">
        <v>851</v>
      </c>
      <c r="C119" s="2" t="str">
        <f>"981-4234"</f>
        <v>981-4234</v>
      </c>
      <c r="D119" s="2" t="s">
        <v>852</v>
      </c>
      <c r="E119" s="2" t="str">
        <f>"0229-63-3056  "</f>
        <v xml:space="preserve">0229-63-3056  </v>
      </c>
      <c r="F119" s="2" t="s">
        <v>6</v>
      </c>
      <c r="G119" s="2" t="s">
        <v>38</v>
      </c>
    </row>
    <row r="120" spans="1:7" ht="37.5" x14ac:dyDescent="0.4">
      <c r="A120" s="2">
        <v>119</v>
      </c>
      <c r="B120" s="2" t="s">
        <v>849</v>
      </c>
      <c r="C120" s="2" t="str">
        <f>"981-4251"</f>
        <v>981-4251</v>
      </c>
      <c r="D120" s="2" t="s">
        <v>850</v>
      </c>
      <c r="E120" s="2" t="str">
        <f>"0229-63-3324  "</f>
        <v xml:space="preserve">0229-63-3324  </v>
      </c>
      <c r="F120" s="2" t="s">
        <v>6</v>
      </c>
      <c r="G120" s="2" t="s">
        <v>137</v>
      </c>
    </row>
    <row r="121" spans="1:7" ht="37.5" x14ac:dyDescent="0.4">
      <c r="A121" s="2">
        <v>120</v>
      </c>
      <c r="B121" s="2" t="s">
        <v>866</v>
      </c>
      <c r="C121" s="2" t="str">
        <f>"981-4251"</f>
        <v>981-4251</v>
      </c>
      <c r="D121" s="2" t="s">
        <v>867</v>
      </c>
      <c r="E121" s="2" t="str">
        <f>"0229-87-5963  "</f>
        <v xml:space="preserve">0229-87-5963  </v>
      </c>
      <c r="F121" s="2" t="s">
        <v>6</v>
      </c>
      <c r="G121" s="2" t="s">
        <v>62</v>
      </c>
    </row>
    <row r="122" spans="1:7" x14ac:dyDescent="0.4">
      <c r="A122" s="2">
        <v>121</v>
      </c>
      <c r="B122" s="2" t="s">
        <v>853</v>
      </c>
      <c r="C122" s="2" t="str">
        <f>"981-4253"</f>
        <v>981-4253</v>
      </c>
      <c r="D122" s="2" t="s">
        <v>114</v>
      </c>
      <c r="E122" s="2" t="str">
        <f>"0229-63-7676  "</f>
        <v xml:space="preserve">0229-63-7676  </v>
      </c>
      <c r="F122" s="2" t="s">
        <v>6</v>
      </c>
      <c r="G122" s="2" t="s">
        <v>854</v>
      </c>
    </row>
    <row r="123" spans="1:7" x14ac:dyDescent="0.4">
      <c r="A123" s="2">
        <v>122</v>
      </c>
      <c r="B123" s="2" t="s">
        <v>1739</v>
      </c>
      <c r="C123" s="2" t="str">
        <f>"981-4253"</f>
        <v>981-4253</v>
      </c>
      <c r="D123" s="2" t="str">
        <f>"加美郡加美町字大門49-1"</f>
        <v>加美郡加美町字大門49-1</v>
      </c>
      <c r="E123" s="2" t="str">
        <f>"0229-25-7857  "</f>
        <v xml:space="preserve">0229-25-7857  </v>
      </c>
      <c r="F123" s="2" t="s">
        <v>9</v>
      </c>
      <c r="G123" s="2" t="s">
        <v>1063</v>
      </c>
    </row>
    <row r="124" spans="1:7" ht="37.5" x14ac:dyDescent="0.4">
      <c r="A124" s="2">
        <v>123</v>
      </c>
      <c r="B124" s="2" t="s">
        <v>865</v>
      </c>
      <c r="C124" s="2" t="str">
        <f>"981-4253"</f>
        <v>981-4253</v>
      </c>
      <c r="D124" s="2" t="str">
        <f>"加美郡加美町字大門５０－１"</f>
        <v>加美郡加美町字大門５０－１</v>
      </c>
      <c r="E124" s="2" t="str">
        <f>"0229-87-4780  "</f>
        <v xml:space="preserve">0229-87-4780  </v>
      </c>
      <c r="F124" s="2" t="s">
        <v>6</v>
      </c>
      <c r="G124" s="2" t="s">
        <v>48</v>
      </c>
    </row>
    <row r="125" spans="1:7" ht="37.5" x14ac:dyDescent="0.4">
      <c r="A125" s="2">
        <v>124</v>
      </c>
      <c r="B125" s="2" t="s">
        <v>1051</v>
      </c>
      <c r="C125" s="2" t="str">
        <f>"981-4334"</f>
        <v>981-4334</v>
      </c>
      <c r="D125" s="2" t="str">
        <f>"加美郡加美町字町屋敷２－２７－２"</f>
        <v>加美郡加美町字町屋敷２－２７－２</v>
      </c>
      <c r="E125" s="2" t="str">
        <f>"0229-67-2027  "</f>
        <v xml:space="preserve">0229-67-2027  </v>
      </c>
      <c r="F125" s="2" t="s">
        <v>6</v>
      </c>
      <c r="G125" s="2" t="s">
        <v>10</v>
      </c>
    </row>
    <row r="126" spans="1:7" ht="37.5" x14ac:dyDescent="0.4">
      <c r="A126" s="2">
        <v>125</v>
      </c>
      <c r="B126" s="2" t="s">
        <v>1735</v>
      </c>
      <c r="C126" s="2" t="str">
        <f>"981-4334"</f>
        <v>981-4334</v>
      </c>
      <c r="D126" s="2" t="s">
        <v>1743</v>
      </c>
      <c r="E126" s="2" t="str">
        <f>"0229-67-2048  "</f>
        <v xml:space="preserve">0229-67-2048  </v>
      </c>
      <c r="F126" s="2" t="s">
        <v>9</v>
      </c>
      <c r="G126" s="2" t="s">
        <v>1063</v>
      </c>
    </row>
    <row r="127" spans="1:7" ht="37.5" x14ac:dyDescent="0.4">
      <c r="A127" s="2">
        <v>126</v>
      </c>
      <c r="B127" s="2" t="s">
        <v>1731</v>
      </c>
      <c r="C127" s="2" t="str">
        <f>"981-4261"</f>
        <v>981-4261</v>
      </c>
      <c r="D127" s="2" t="str">
        <f>"加美郡加美町字町裏１５５－３"</f>
        <v>加美郡加美町字町裏１５５－３</v>
      </c>
      <c r="E127" s="2" t="str">
        <f>"0229-63-5806  "</f>
        <v xml:space="preserve">0229-63-5806  </v>
      </c>
      <c r="F127" s="2" t="s">
        <v>9</v>
      </c>
      <c r="G127" s="2" t="s">
        <v>1063</v>
      </c>
    </row>
    <row r="128" spans="1:7" ht="37.5" x14ac:dyDescent="0.4">
      <c r="A128" s="2">
        <v>127</v>
      </c>
      <c r="B128" s="2" t="s">
        <v>864</v>
      </c>
      <c r="C128" s="2" t="str">
        <f>"981-4261"</f>
        <v>981-4261</v>
      </c>
      <c r="D128" s="2" t="str">
        <f>"加美郡加美町字町裏２１２－１"</f>
        <v>加美郡加美町字町裏２１２－１</v>
      </c>
      <c r="E128" s="2" t="str">
        <f>"0229-64-2256  "</f>
        <v xml:space="preserve">0229-64-2256  </v>
      </c>
      <c r="F128" s="2" t="s">
        <v>6</v>
      </c>
      <c r="G128" s="2" t="s">
        <v>204</v>
      </c>
    </row>
    <row r="129" spans="1:7" ht="37.5" x14ac:dyDescent="0.4">
      <c r="A129" s="2">
        <v>128</v>
      </c>
      <c r="B129" s="2" t="s">
        <v>1736</v>
      </c>
      <c r="C129" s="2" t="str">
        <f>"981-4261"</f>
        <v>981-4261</v>
      </c>
      <c r="D129" s="2" t="str">
        <f>"加美郡加美町字町裏３４３－１"</f>
        <v>加美郡加美町字町裏３４３－１</v>
      </c>
      <c r="E129" s="2" t="str">
        <f>"0229-63-7787  "</f>
        <v xml:space="preserve">0229-63-7787  </v>
      </c>
      <c r="F129" s="2" t="s">
        <v>9</v>
      </c>
      <c r="G129" s="2"/>
    </row>
    <row r="130" spans="1:7" ht="37.5" x14ac:dyDescent="0.4">
      <c r="A130" s="2">
        <v>129</v>
      </c>
      <c r="B130" s="2" t="s">
        <v>1050</v>
      </c>
      <c r="C130" s="2" t="str">
        <f>"981-4261"</f>
        <v>981-4261</v>
      </c>
      <c r="D130" s="2" t="str">
        <f>"加美郡加美町字町裏９－１２－２１"</f>
        <v>加美郡加美町字町裏９－１２－２１</v>
      </c>
      <c r="E130" s="2" t="str">
        <f>"0229-63-3055  "</f>
        <v xml:space="preserve">0229-63-3055  </v>
      </c>
      <c r="F130" s="2" t="s">
        <v>6</v>
      </c>
      <c r="G130" s="2" t="s">
        <v>910</v>
      </c>
    </row>
    <row r="131" spans="1:7" ht="37.5" x14ac:dyDescent="0.4">
      <c r="A131" s="2">
        <v>130</v>
      </c>
      <c r="B131" s="2" t="s">
        <v>857</v>
      </c>
      <c r="C131" s="2" t="str">
        <f>"981-4231"</f>
        <v>981-4231</v>
      </c>
      <c r="D131" s="2" t="str">
        <f>"加美郡加美町字百目木１番２３－２"</f>
        <v>加美郡加美町字百目木１番２３－２</v>
      </c>
      <c r="E131" s="2" t="str">
        <f>"0229-63-3270  "</f>
        <v xml:space="preserve">0229-63-3270  </v>
      </c>
      <c r="F131" s="2" t="s">
        <v>6</v>
      </c>
      <c r="G131" s="2" t="s">
        <v>48</v>
      </c>
    </row>
    <row r="132" spans="1:7" ht="37.5" x14ac:dyDescent="0.4">
      <c r="A132" s="2">
        <v>131</v>
      </c>
      <c r="B132" s="2" t="s">
        <v>1732</v>
      </c>
      <c r="C132" s="2" t="str">
        <f>"981-4254"</f>
        <v>981-4254</v>
      </c>
      <c r="D132" s="2" t="s">
        <v>1733</v>
      </c>
      <c r="E132" s="2" t="str">
        <f>"0229-63-3520  "</f>
        <v xml:space="preserve">0229-63-3520  </v>
      </c>
      <c r="F132" s="2" t="s">
        <v>9</v>
      </c>
      <c r="G132" s="2" t="s">
        <v>1063</v>
      </c>
    </row>
    <row r="133" spans="1:7" x14ac:dyDescent="0.4">
      <c r="A133" s="2">
        <v>132</v>
      </c>
      <c r="B133" s="2" t="s">
        <v>1740</v>
      </c>
      <c r="C133" s="2" t="str">
        <f>"981-4265"</f>
        <v>981-4265</v>
      </c>
      <c r="D133" s="2" t="str">
        <f>"加美郡加美町字矢越340-1"</f>
        <v>加美郡加美町字矢越340-1</v>
      </c>
      <c r="E133" s="2" t="str">
        <f>"0229-64-1888  "</f>
        <v xml:space="preserve">0229-64-1888  </v>
      </c>
      <c r="F133" s="2" t="s">
        <v>9</v>
      </c>
      <c r="G133" s="2" t="s">
        <v>1063</v>
      </c>
    </row>
    <row r="134" spans="1:7" ht="37.5" x14ac:dyDescent="0.4">
      <c r="A134" s="2">
        <v>133</v>
      </c>
      <c r="B134" s="2" t="s">
        <v>847</v>
      </c>
      <c r="C134" s="2" t="str">
        <f>"981-4165"</f>
        <v>981-4165</v>
      </c>
      <c r="D134" s="2" t="s">
        <v>848</v>
      </c>
      <c r="E134" s="2" t="str">
        <f>"0229-63-2156  "</f>
        <v xml:space="preserve">0229-63-2156  </v>
      </c>
      <c r="F134" s="2" t="s">
        <v>6</v>
      </c>
      <c r="G134" s="2" t="s">
        <v>62</v>
      </c>
    </row>
    <row r="135" spans="1:7" ht="37.5" x14ac:dyDescent="0.4">
      <c r="A135" s="2">
        <v>134</v>
      </c>
      <c r="B135" s="2" t="s">
        <v>1734</v>
      </c>
      <c r="C135" s="2" t="str">
        <f>"981-4327"</f>
        <v>981-4327</v>
      </c>
      <c r="D135" s="2" t="str">
        <f>"加美郡加美町上野原４４－１"</f>
        <v>加美郡加美町上野原４４－１</v>
      </c>
      <c r="E135" s="2" t="str">
        <f>"0229-68-1520  "</f>
        <v xml:space="preserve">0229-68-1520  </v>
      </c>
      <c r="F135" s="2" t="s">
        <v>9</v>
      </c>
      <c r="G135" s="2" t="s">
        <v>1063</v>
      </c>
    </row>
    <row r="136" spans="1:7" ht="56.25" x14ac:dyDescent="0.4">
      <c r="A136" s="2">
        <v>135</v>
      </c>
      <c r="B136" s="2" t="s">
        <v>861</v>
      </c>
      <c r="C136" s="2" t="str">
        <f>"981-4122"</f>
        <v>981-4122</v>
      </c>
      <c r="D136" s="2" t="s">
        <v>862</v>
      </c>
      <c r="E136" s="2" t="str">
        <f>"0229-66-2500  "</f>
        <v xml:space="preserve">0229-66-2500  </v>
      </c>
      <c r="F136" s="2" t="s">
        <v>6</v>
      </c>
      <c r="G136" s="2" t="s">
        <v>863</v>
      </c>
    </row>
    <row r="137" spans="1:7" ht="37.5" x14ac:dyDescent="0.4">
      <c r="A137" s="2">
        <v>136</v>
      </c>
      <c r="B137" s="2" t="s">
        <v>1737</v>
      </c>
      <c r="C137" s="2" t="str">
        <f>"981-4122"</f>
        <v>981-4122</v>
      </c>
      <c r="D137" s="2" t="str">
        <f>"加美郡色麻町四竃字瀧１０７－１"</f>
        <v>加美郡色麻町四竃字瀧１０７－１</v>
      </c>
      <c r="E137" s="2" t="str">
        <f>"0229-25-5191  "</f>
        <v xml:space="preserve">0229-25-5191  </v>
      </c>
      <c r="F137" s="2" t="s">
        <v>9</v>
      </c>
      <c r="G137" s="2" t="s">
        <v>1063</v>
      </c>
    </row>
    <row r="138" spans="1:7" ht="37.5" x14ac:dyDescent="0.4">
      <c r="A138" s="2">
        <v>137</v>
      </c>
      <c r="B138" s="2" t="s">
        <v>1742</v>
      </c>
      <c r="C138" s="2" t="str">
        <f>"981-4122"</f>
        <v>981-4122</v>
      </c>
      <c r="D138" s="2" t="str">
        <f>"加美郡色麻町四竃字瀧１４９－１"</f>
        <v>加美郡色麻町四竃字瀧１４９－１</v>
      </c>
      <c r="E138" s="2" t="str">
        <f>"0229-25-5238  "</f>
        <v xml:space="preserve">0229-25-5238  </v>
      </c>
      <c r="F138" s="2" t="s">
        <v>9</v>
      </c>
      <c r="G138" s="2" t="s">
        <v>1129</v>
      </c>
    </row>
    <row r="139" spans="1:7" ht="37.5" x14ac:dyDescent="0.4">
      <c r="A139" s="2">
        <v>138</v>
      </c>
      <c r="B139" s="2" t="s">
        <v>1308</v>
      </c>
      <c r="C139" s="2" t="str">
        <f>"981-1505"</f>
        <v>981-1505</v>
      </c>
      <c r="D139" s="2" t="str">
        <f>"角田市角田字牛舘　１５－１"</f>
        <v>角田市角田字牛舘　１５－１</v>
      </c>
      <c r="E139" s="2" t="str">
        <f>"0224-63-0512  "</f>
        <v xml:space="preserve">0224-63-0512  </v>
      </c>
      <c r="F139" s="2" t="s">
        <v>9</v>
      </c>
      <c r="G139" s="2" t="s">
        <v>1063</v>
      </c>
    </row>
    <row r="140" spans="1:7" x14ac:dyDescent="0.4">
      <c r="A140" s="2">
        <v>139</v>
      </c>
      <c r="B140" s="2" t="s">
        <v>330</v>
      </c>
      <c r="C140" s="2" t="str">
        <f>"981-1505"</f>
        <v>981-1505</v>
      </c>
      <c r="D140" s="2" t="s">
        <v>331</v>
      </c>
      <c r="E140" s="2" t="str">
        <f>"0224-63-2003  "</f>
        <v xml:space="preserve">0224-63-2003  </v>
      </c>
      <c r="F140" s="2" t="s">
        <v>6</v>
      </c>
      <c r="G140" s="2" t="s">
        <v>62</v>
      </c>
    </row>
    <row r="141" spans="1:7" x14ac:dyDescent="0.4">
      <c r="A141" s="2">
        <v>140</v>
      </c>
      <c r="B141" s="2" t="s">
        <v>339</v>
      </c>
      <c r="C141" s="2" t="str">
        <f>"981-1505"</f>
        <v>981-1505</v>
      </c>
      <c r="D141" s="2" t="s">
        <v>340</v>
      </c>
      <c r="E141" s="2" t="str">
        <f>"0224-62-5711  "</f>
        <v xml:space="preserve">0224-62-5711  </v>
      </c>
      <c r="F141" s="2" t="s">
        <v>6</v>
      </c>
      <c r="G141" s="2" t="s">
        <v>48</v>
      </c>
    </row>
    <row r="142" spans="1:7" x14ac:dyDescent="0.4">
      <c r="A142" s="2">
        <v>141</v>
      </c>
      <c r="B142" s="2" t="s">
        <v>1304</v>
      </c>
      <c r="C142" s="2" t="str">
        <f>"981-1505"</f>
        <v>981-1505</v>
      </c>
      <c r="D142" s="2" t="s">
        <v>1305</v>
      </c>
      <c r="E142" s="2" t="str">
        <f>"0224-63-4361  "</f>
        <v xml:space="preserve">0224-63-4361  </v>
      </c>
      <c r="F142" s="2" t="s">
        <v>9</v>
      </c>
      <c r="G142" s="2" t="s">
        <v>1063</v>
      </c>
    </row>
    <row r="143" spans="1:7" ht="37.5" x14ac:dyDescent="0.4">
      <c r="A143" s="2">
        <v>142</v>
      </c>
      <c r="B143" s="2" t="s">
        <v>343</v>
      </c>
      <c r="C143" s="2" t="str">
        <f>"981-1505"</f>
        <v>981-1505</v>
      </c>
      <c r="D143" s="2" t="s">
        <v>344</v>
      </c>
      <c r="E143" s="2" t="str">
        <f>"0224-63-3335  "</f>
        <v xml:space="preserve">0224-63-3335  </v>
      </c>
      <c r="F143" s="2" t="s">
        <v>6</v>
      </c>
      <c r="G143" s="2" t="s">
        <v>345</v>
      </c>
    </row>
    <row r="144" spans="1:7" x14ac:dyDescent="0.4">
      <c r="A144" s="2">
        <v>143</v>
      </c>
      <c r="B144" s="2" t="s">
        <v>1318</v>
      </c>
      <c r="C144" s="2" t="str">
        <f>"981-1505"</f>
        <v>981-1505</v>
      </c>
      <c r="D144" s="2" t="s">
        <v>1311</v>
      </c>
      <c r="E144" s="2" t="str">
        <f>"0224-62-4660  "</f>
        <v xml:space="preserve">0224-62-4660  </v>
      </c>
      <c r="F144" s="2" t="s">
        <v>9</v>
      </c>
      <c r="G144" s="2" t="s">
        <v>1063</v>
      </c>
    </row>
    <row r="145" spans="1:7" x14ac:dyDescent="0.4">
      <c r="A145" s="2">
        <v>144</v>
      </c>
      <c r="B145" s="2" t="s">
        <v>1319</v>
      </c>
      <c r="C145" s="2" t="str">
        <f>"981-1505"</f>
        <v>981-1505</v>
      </c>
      <c r="D145" s="2" t="s">
        <v>1320</v>
      </c>
      <c r="E145" s="2" t="str">
        <f>"0224-87-6073  "</f>
        <v xml:space="preserve">0224-87-6073  </v>
      </c>
      <c r="F145" s="2" t="s">
        <v>9</v>
      </c>
      <c r="G145" s="2" t="s">
        <v>1063</v>
      </c>
    </row>
    <row r="146" spans="1:7" x14ac:dyDescent="0.4">
      <c r="A146" s="2">
        <v>145</v>
      </c>
      <c r="B146" s="2" t="s">
        <v>968</v>
      </c>
      <c r="C146" s="2" t="str">
        <f>"981-1505"</f>
        <v>981-1505</v>
      </c>
      <c r="D146" s="2" t="s">
        <v>969</v>
      </c>
      <c r="E146" s="2" t="str">
        <f>"0224-63-4181  "</f>
        <v xml:space="preserve">0224-63-4181  </v>
      </c>
      <c r="F146" s="2" t="s">
        <v>6</v>
      </c>
      <c r="G146" s="2" t="s">
        <v>902</v>
      </c>
    </row>
    <row r="147" spans="1:7" ht="37.5" x14ac:dyDescent="0.4">
      <c r="A147" s="2">
        <v>146</v>
      </c>
      <c r="B147" s="2" t="s">
        <v>1271</v>
      </c>
      <c r="C147" s="2" t="str">
        <f>"981-1505"</f>
        <v>981-1505</v>
      </c>
      <c r="D147" s="2" t="str">
        <f>"角田市角田字扇町１１－１４"</f>
        <v>角田市角田字扇町１１－１４</v>
      </c>
      <c r="E147" s="2" t="str">
        <f>"0224-63-3666  "</f>
        <v xml:space="preserve">0224-63-3666  </v>
      </c>
      <c r="F147" s="2" t="s">
        <v>9</v>
      </c>
      <c r="G147" s="2" t="s">
        <v>1063</v>
      </c>
    </row>
    <row r="148" spans="1:7" x14ac:dyDescent="0.4">
      <c r="A148" s="2">
        <v>147</v>
      </c>
      <c r="B148" s="2" t="s">
        <v>1316</v>
      </c>
      <c r="C148" s="2" t="str">
        <f>"981-1505"</f>
        <v>981-1505</v>
      </c>
      <c r="D148" s="2" t="str">
        <f>"角田市角田字大町41－7"</f>
        <v>角田市角田字大町41－7</v>
      </c>
      <c r="E148" s="2" t="str">
        <f>"0224-51-8805  "</f>
        <v xml:space="preserve">0224-51-8805  </v>
      </c>
      <c r="F148" s="2" t="s">
        <v>9</v>
      </c>
      <c r="G148" s="2" t="s">
        <v>1129</v>
      </c>
    </row>
    <row r="149" spans="1:7" ht="37.5" x14ac:dyDescent="0.4">
      <c r="A149" s="2">
        <v>148</v>
      </c>
      <c r="B149" s="2" t="s">
        <v>1802</v>
      </c>
      <c r="C149" s="2" t="str">
        <f>"981-1505"</f>
        <v>981-1505</v>
      </c>
      <c r="D149" s="2" t="s">
        <v>1803</v>
      </c>
      <c r="E149" s="2" t="str">
        <f>"0224-61-2231  "</f>
        <v xml:space="preserve">0224-61-2231  </v>
      </c>
      <c r="F149" s="2" t="s">
        <v>11</v>
      </c>
      <c r="G149" s="2" t="s">
        <v>1151</v>
      </c>
    </row>
    <row r="150" spans="1:7" x14ac:dyDescent="0.4">
      <c r="A150" s="2">
        <v>149</v>
      </c>
      <c r="B150" s="2" t="s">
        <v>341</v>
      </c>
      <c r="C150" s="2" t="str">
        <f>"981-1505"</f>
        <v>981-1505</v>
      </c>
      <c r="D150" s="2" t="s">
        <v>342</v>
      </c>
      <c r="E150" s="2" t="str">
        <f>"0224-63-2304  "</f>
        <v xml:space="preserve">0224-63-2304  </v>
      </c>
      <c r="F150" s="2" t="s">
        <v>6</v>
      </c>
      <c r="G150" s="2" t="s">
        <v>32</v>
      </c>
    </row>
    <row r="151" spans="1:7" x14ac:dyDescent="0.4">
      <c r="A151" s="2">
        <v>150</v>
      </c>
      <c r="B151" s="2" t="s">
        <v>1306</v>
      </c>
      <c r="C151" s="2" t="str">
        <f>"981-1505"</f>
        <v>981-1505</v>
      </c>
      <c r="D151" s="2" t="s">
        <v>1307</v>
      </c>
      <c r="E151" s="2" t="str">
        <f>"0224-63-2445  "</f>
        <v xml:space="preserve">0224-63-2445  </v>
      </c>
      <c r="F151" s="2" t="s">
        <v>9</v>
      </c>
      <c r="G151" s="2" t="s">
        <v>1063</v>
      </c>
    </row>
    <row r="152" spans="1:7" ht="37.5" x14ac:dyDescent="0.4">
      <c r="A152" s="2">
        <v>151</v>
      </c>
      <c r="B152" s="2" t="s">
        <v>353</v>
      </c>
      <c r="C152" s="2" t="str">
        <f>"981-1505"</f>
        <v>981-1505</v>
      </c>
      <c r="D152" s="2" t="s">
        <v>338</v>
      </c>
      <c r="E152" s="2" t="str">
        <f>"0224-86-5330  "</f>
        <v xml:space="preserve">0224-86-5330  </v>
      </c>
      <c r="F152" s="2" t="s">
        <v>6</v>
      </c>
      <c r="G152" s="2" t="s">
        <v>204</v>
      </c>
    </row>
    <row r="153" spans="1:7" x14ac:dyDescent="0.4">
      <c r="A153" s="2">
        <v>152</v>
      </c>
      <c r="B153" s="2" t="s">
        <v>1313</v>
      </c>
      <c r="C153" s="2" t="str">
        <f>"981-1505"</f>
        <v>981-1505</v>
      </c>
      <c r="D153" s="2" t="s">
        <v>1314</v>
      </c>
      <c r="E153" s="2" t="str">
        <f>"0224-62-1386  "</f>
        <v xml:space="preserve">0224-62-1386  </v>
      </c>
      <c r="F153" s="2" t="s">
        <v>9</v>
      </c>
      <c r="G153" s="2" t="s">
        <v>1063</v>
      </c>
    </row>
    <row r="154" spans="1:7" ht="37.5" x14ac:dyDescent="0.4">
      <c r="A154" s="2">
        <v>153</v>
      </c>
      <c r="B154" s="2" t="s">
        <v>1312</v>
      </c>
      <c r="C154" s="2" t="str">
        <f>"981-1505"</f>
        <v>981-1505</v>
      </c>
      <c r="D154" s="2" t="str">
        <f>"角田市角田字町２２２－２"</f>
        <v>角田市角田字町２２２－２</v>
      </c>
      <c r="E154" s="2" t="str">
        <f>"0224-63-0277  "</f>
        <v xml:space="preserve">0224-63-0277  </v>
      </c>
      <c r="F154" s="2" t="s">
        <v>9</v>
      </c>
      <c r="G154" s="2" t="s">
        <v>1063</v>
      </c>
    </row>
    <row r="155" spans="1:7" ht="37.5" x14ac:dyDescent="0.4">
      <c r="A155" s="2">
        <v>154</v>
      </c>
      <c r="B155" s="2" t="s">
        <v>346</v>
      </c>
      <c r="C155" s="2" t="str">
        <f>"981-1505"</f>
        <v>981-1505</v>
      </c>
      <c r="D155" s="2" t="s">
        <v>347</v>
      </c>
      <c r="E155" s="2" t="str">
        <f>"0224-61-2001  "</f>
        <v xml:space="preserve">0224-61-2001  </v>
      </c>
      <c r="F155" s="2" t="s">
        <v>6</v>
      </c>
      <c r="G155" s="2" t="s">
        <v>348</v>
      </c>
    </row>
    <row r="156" spans="1:7" ht="37.5" x14ac:dyDescent="0.4">
      <c r="A156" s="2">
        <v>155</v>
      </c>
      <c r="B156" s="2" t="s">
        <v>332</v>
      </c>
      <c r="C156" s="2" t="str">
        <f>"981-1505"</f>
        <v>981-1505</v>
      </c>
      <c r="D156" s="2" t="s">
        <v>333</v>
      </c>
      <c r="E156" s="2" t="str">
        <f>"0224-63-1032  "</f>
        <v xml:space="preserve">0224-63-1032  </v>
      </c>
      <c r="F156" s="2" t="s">
        <v>6</v>
      </c>
      <c r="G156" s="2" t="s">
        <v>334</v>
      </c>
    </row>
    <row r="157" spans="1:7" ht="37.5" x14ac:dyDescent="0.4">
      <c r="A157" s="2">
        <v>156</v>
      </c>
      <c r="B157" s="2" t="s">
        <v>1315</v>
      </c>
      <c r="C157" s="2" t="str">
        <f>"981-1505"</f>
        <v>981-1505</v>
      </c>
      <c r="D157" s="2" t="s">
        <v>1317</v>
      </c>
      <c r="E157" s="2" t="str">
        <f>"0224-63-4766  "</f>
        <v xml:space="preserve">0224-63-4766  </v>
      </c>
      <c r="F157" s="2" t="s">
        <v>9</v>
      </c>
      <c r="G157" s="2" t="s">
        <v>1063</v>
      </c>
    </row>
    <row r="158" spans="1:7" ht="37.5" x14ac:dyDescent="0.4">
      <c r="A158" s="2">
        <v>157</v>
      </c>
      <c r="B158" s="2" t="s">
        <v>1309</v>
      </c>
      <c r="C158" s="2" t="str">
        <f>"981-1505"</f>
        <v>981-1505</v>
      </c>
      <c r="D158" s="2" t="str">
        <f>"角田市角田字田町１２８－２"</f>
        <v>角田市角田字田町１２８－２</v>
      </c>
      <c r="E158" s="2" t="str">
        <f>"0224-61-2070  "</f>
        <v xml:space="preserve">0224-61-2070  </v>
      </c>
      <c r="F158" s="2" t="s">
        <v>9</v>
      </c>
      <c r="G158" s="2" t="s">
        <v>1129</v>
      </c>
    </row>
    <row r="159" spans="1:7" x14ac:dyDescent="0.4">
      <c r="A159" s="2">
        <v>158</v>
      </c>
      <c r="B159" s="2" t="s">
        <v>1310</v>
      </c>
      <c r="C159" s="2" t="str">
        <f>"981-1505"</f>
        <v>981-1505</v>
      </c>
      <c r="D159" s="2" t="str">
        <f>"角田市角田字南６０－５"</f>
        <v>角田市角田字南６０－５</v>
      </c>
      <c r="E159" s="2" t="str">
        <f>"0224-63-0561  "</f>
        <v xml:space="preserve">0224-63-0561  </v>
      </c>
      <c r="F159" s="2" t="s">
        <v>9</v>
      </c>
      <c r="G159" s="2" t="s">
        <v>1063</v>
      </c>
    </row>
    <row r="160" spans="1:7" x14ac:dyDescent="0.4">
      <c r="A160" s="2">
        <v>159</v>
      </c>
      <c r="B160" s="2" t="s">
        <v>349</v>
      </c>
      <c r="C160" s="2" t="str">
        <f>"981-1505"</f>
        <v>981-1505</v>
      </c>
      <c r="D160" s="2" t="str">
        <f>"角田市角田字南６１－１"</f>
        <v>角田市角田字南６１－１</v>
      </c>
      <c r="E160" s="2" t="str">
        <f>"0224-63-2347  "</f>
        <v xml:space="preserve">0224-63-2347  </v>
      </c>
      <c r="F160" s="2" t="s">
        <v>6</v>
      </c>
      <c r="G160" s="2" t="s">
        <v>350</v>
      </c>
    </row>
    <row r="161" spans="1:7" x14ac:dyDescent="0.4">
      <c r="A161" s="2">
        <v>160</v>
      </c>
      <c r="B161" s="2" t="s">
        <v>351</v>
      </c>
      <c r="C161" s="2" t="str">
        <f>"981-1505"</f>
        <v>981-1505</v>
      </c>
      <c r="D161" s="2" t="str">
        <f>"角田市角田字豊町１－３"</f>
        <v>角田市角田字豊町１－３</v>
      </c>
      <c r="E161" s="2" t="str">
        <f>"0224-63-0062  "</f>
        <v xml:space="preserve">0224-63-0062  </v>
      </c>
      <c r="F161" s="2" t="s">
        <v>6</v>
      </c>
      <c r="G161" s="2" t="s">
        <v>352</v>
      </c>
    </row>
    <row r="162" spans="1:7" x14ac:dyDescent="0.4">
      <c r="A162" s="2">
        <v>161</v>
      </c>
      <c r="B162" s="2" t="s">
        <v>335</v>
      </c>
      <c r="C162" s="2" t="str">
        <f>"981-1522"</f>
        <v>981-1522</v>
      </c>
      <c r="D162" s="2" t="s">
        <v>336</v>
      </c>
      <c r="E162" s="2" t="str">
        <f>"0224-63-0360  "</f>
        <v xml:space="preserve">0224-63-0360  </v>
      </c>
      <c r="F162" s="2" t="s">
        <v>6</v>
      </c>
      <c r="G162" s="2" t="s">
        <v>337</v>
      </c>
    </row>
    <row r="163" spans="1:7" ht="37.5" x14ac:dyDescent="0.4">
      <c r="A163" s="2">
        <v>162</v>
      </c>
      <c r="B163" s="2" t="s">
        <v>1303</v>
      </c>
      <c r="C163" s="2" t="str">
        <f>"981-1522"</f>
        <v>981-1522</v>
      </c>
      <c r="D163" s="2" t="str">
        <f>"角田市佐倉字畑田南２－６"</f>
        <v>角田市佐倉字畑田南２－６</v>
      </c>
      <c r="E163" s="2" t="str">
        <f>"0224-63-4122  "</f>
        <v xml:space="preserve">0224-63-4122  </v>
      </c>
      <c r="F163" s="2" t="s">
        <v>9</v>
      </c>
      <c r="G163" s="2" t="s">
        <v>1063</v>
      </c>
    </row>
    <row r="164" spans="1:7" ht="37.5" x14ac:dyDescent="0.4">
      <c r="A164" s="2">
        <v>163</v>
      </c>
      <c r="B164" s="2" t="s">
        <v>689</v>
      </c>
      <c r="C164" s="2" t="str">
        <f>"989-0512"</f>
        <v>989-0512</v>
      </c>
      <c r="D164" s="2" t="s">
        <v>690</v>
      </c>
      <c r="E164" s="2" t="str">
        <f>"0224-37-2002  "</f>
        <v xml:space="preserve">0224-37-2002  </v>
      </c>
      <c r="F164" s="2" t="s">
        <v>6</v>
      </c>
      <c r="G164" s="2" t="s">
        <v>235</v>
      </c>
    </row>
    <row r="165" spans="1:7" ht="37.5" x14ac:dyDescent="0.4">
      <c r="A165" s="2">
        <v>164</v>
      </c>
      <c r="B165" s="2" t="s">
        <v>1601</v>
      </c>
      <c r="C165" s="2" t="str">
        <f>"989-0512"</f>
        <v>989-0512</v>
      </c>
      <c r="D165" s="2" t="s">
        <v>1606</v>
      </c>
      <c r="E165" s="2" t="str">
        <f>"0224-37-2210  "</f>
        <v xml:space="preserve">0224-37-2210  </v>
      </c>
      <c r="F165" s="2" t="s">
        <v>9</v>
      </c>
      <c r="G165" s="2" t="s">
        <v>1063</v>
      </c>
    </row>
    <row r="166" spans="1:7" ht="37.5" x14ac:dyDescent="0.4">
      <c r="A166" s="2">
        <v>165</v>
      </c>
      <c r="B166" s="2" t="s">
        <v>693</v>
      </c>
      <c r="C166" s="2" t="str">
        <f>"989-0652"</f>
        <v>989-0652</v>
      </c>
      <c r="D166" s="2" t="s">
        <v>694</v>
      </c>
      <c r="E166" s="2" t="str">
        <f>"0224-37-2002  "</f>
        <v xml:space="preserve">0224-37-2002  </v>
      </c>
      <c r="F166" s="2" t="s">
        <v>6</v>
      </c>
      <c r="G166" s="2" t="s">
        <v>235</v>
      </c>
    </row>
    <row r="167" spans="1:7" ht="37.5" x14ac:dyDescent="0.4">
      <c r="A167" s="2">
        <v>166</v>
      </c>
      <c r="B167" s="2" t="s">
        <v>1599</v>
      </c>
      <c r="C167" s="2" t="str">
        <f>"989-0701"</f>
        <v>989-0701</v>
      </c>
      <c r="D167" s="2" t="s">
        <v>1600</v>
      </c>
      <c r="E167" s="2" t="str">
        <f>"0224-32-3020  "</f>
        <v xml:space="preserve">0224-32-3020  </v>
      </c>
      <c r="F167" s="2" t="s">
        <v>9</v>
      </c>
      <c r="G167" s="2" t="s">
        <v>1063</v>
      </c>
    </row>
    <row r="168" spans="1:7" ht="37.5" x14ac:dyDescent="0.4">
      <c r="A168" s="2">
        <v>167</v>
      </c>
      <c r="B168" s="2" t="s">
        <v>698</v>
      </c>
      <c r="C168" s="2" t="str">
        <f>"989-0701"</f>
        <v>989-0701</v>
      </c>
      <c r="D168" s="2" t="s">
        <v>699</v>
      </c>
      <c r="E168" s="2" t="str">
        <f>"0224-32-2101  "</f>
        <v xml:space="preserve">0224-32-2101  </v>
      </c>
      <c r="F168" s="2" t="s">
        <v>6</v>
      </c>
      <c r="G168" s="2" t="s">
        <v>670</v>
      </c>
    </row>
    <row r="169" spans="1:7" ht="37.5" x14ac:dyDescent="0.4">
      <c r="A169" s="2">
        <v>168</v>
      </c>
      <c r="B169" s="2" t="s">
        <v>1597</v>
      </c>
      <c r="C169" s="2" t="str">
        <f>"989-0701"</f>
        <v>989-0701</v>
      </c>
      <c r="D169" s="2" t="s">
        <v>1598</v>
      </c>
      <c r="E169" s="2" t="str">
        <f>"0224-32-3590  "</f>
        <v xml:space="preserve">0224-32-3590  </v>
      </c>
      <c r="F169" s="2" t="s">
        <v>9</v>
      </c>
      <c r="G169" s="2" t="s">
        <v>1063</v>
      </c>
    </row>
    <row r="170" spans="1:7" ht="37.5" x14ac:dyDescent="0.4">
      <c r="A170" s="2">
        <v>169</v>
      </c>
      <c r="B170" s="2" t="s">
        <v>695</v>
      </c>
      <c r="C170" s="2" t="str">
        <f>"989-0701"</f>
        <v>989-0701</v>
      </c>
      <c r="D170" s="2" t="s">
        <v>696</v>
      </c>
      <c r="E170" s="2" t="str">
        <f>"0224-32-2002  "</f>
        <v xml:space="preserve">0224-32-2002  </v>
      </c>
      <c r="F170" s="2" t="s">
        <v>6</v>
      </c>
      <c r="G170" s="2" t="s">
        <v>697</v>
      </c>
    </row>
    <row r="171" spans="1:7" ht="37.5" x14ac:dyDescent="0.4">
      <c r="A171" s="2">
        <v>170</v>
      </c>
      <c r="B171" s="2" t="s">
        <v>1603</v>
      </c>
      <c r="C171" s="2" t="str">
        <f>"989-0701"</f>
        <v>989-0701</v>
      </c>
      <c r="D171" s="2" t="str">
        <f>"刈田郡蔵王町宮字町３７－３"</f>
        <v>刈田郡蔵王町宮字町３７－３</v>
      </c>
      <c r="E171" s="2" t="str">
        <f>"0224-32-4550  "</f>
        <v xml:space="preserve">0224-32-4550  </v>
      </c>
      <c r="F171" s="2" t="s">
        <v>9</v>
      </c>
      <c r="G171" s="2" t="s">
        <v>1129</v>
      </c>
    </row>
    <row r="172" spans="1:7" ht="37.5" x14ac:dyDescent="0.4">
      <c r="A172" s="2">
        <v>171</v>
      </c>
      <c r="B172" s="2" t="s">
        <v>1602</v>
      </c>
      <c r="C172" s="2" t="str">
        <f>"989-0701"</f>
        <v>989-0701</v>
      </c>
      <c r="D172" s="2" t="str">
        <f>"刈田郡蔵王町宮字鳥井先７－２"</f>
        <v>刈田郡蔵王町宮字鳥井先７－２</v>
      </c>
      <c r="E172" s="2" t="str">
        <f>"0224-32-3360  "</f>
        <v xml:space="preserve">0224-32-3360  </v>
      </c>
      <c r="F172" s="2" t="s">
        <v>9</v>
      </c>
      <c r="G172" s="2" t="s">
        <v>1063</v>
      </c>
    </row>
    <row r="173" spans="1:7" ht="37.5" x14ac:dyDescent="0.4">
      <c r="A173" s="2">
        <v>172</v>
      </c>
      <c r="B173" s="2" t="s">
        <v>1851</v>
      </c>
      <c r="C173" s="2" t="str">
        <f>"989-0821"</f>
        <v>989-0821</v>
      </c>
      <c r="D173" s="2" t="s">
        <v>1852</v>
      </c>
      <c r="E173" s="2" t="str">
        <f>"0224-33-2940  "</f>
        <v xml:space="preserve">0224-33-2940  </v>
      </c>
      <c r="F173" s="2" t="s">
        <v>11</v>
      </c>
      <c r="G173" s="2" t="s">
        <v>1151</v>
      </c>
    </row>
    <row r="174" spans="1:7" ht="37.5" x14ac:dyDescent="0.4">
      <c r="A174" s="2">
        <v>173</v>
      </c>
      <c r="B174" s="2" t="s">
        <v>1026</v>
      </c>
      <c r="C174" s="2" t="str">
        <f>"989-0821"</f>
        <v>989-0821</v>
      </c>
      <c r="D174" s="2" t="str">
        <f>"刈田郡蔵王町大字円田字中田　７４－１"</f>
        <v>刈田郡蔵王町大字円田字中田　７４－１</v>
      </c>
      <c r="E174" s="2" t="str">
        <f>"0224-22-7122  "</f>
        <v xml:space="preserve">0224-22-7122  </v>
      </c>
      <c r="F174" s="2" t="s">
        <v>6</v>
      </c>
      <c r="G174" s="2" t="s">
        <v>902</v>
      </c>
    </row>
    <row r="175" spans="1:7" ht="37.5" x14ac:dyDescent="0.4">
      <c r="A175" s="2">
        <v>174</v>
      </c>
      <c r="B175" s="2" t="s">
        <v>691</v>
      </c>
      <c r="C175" s="2" t="str">
        <f>"989-0821"</f>
        <v>989-0821</v>
      </c>
      <c r="D175" s="2" t="s">
        <v>692</v>
      </c>
      <c r="E175" s="2" t="str">
        <f>"0224-33-2260  "</f>
        <v xml:space="preserve">0224-33-2260  </v>
      </c>
      <c r="F175" s="2" t="s">
        <v>6</v>
      </c>
      <c r="G175" s="2" t="s">
        <v>62</v>
      </c>
    </row>
    <row r="176" spans="1:7" ht="37.5" x14ac:dyDescent="0.4">
      <c r="A176" s="2">
        <v>175</v>
      </c>
      <c r="B176" s="2" t="s">
        <v>1604</v>
      </c>
      <c r="C176" s="2" t="str">
        <f>"989-0821"</f>
        <v>989-0821</v>
      </c>
      <c r="D176" s="2" t="s">
        <v>1605</v>
      </c>
      <c r="E176" s="2" t="str">
        <f>"0224-22-7866  "</f>
        <v xml:space="preserve">0224-22-7866  </v>
      </c>
      <c r="F176" s="2" t="s">
        <v>9</v>
      </c>
      <c r="G176" s="2" t="s">
        <v>1063</v>
      </c>
    </row>
    <row r="177" spans="1:7" x14ac:dyDescent="0.4">
      <c r="A177" s="2">
        <v>176</v>
      </c>
      <c r="B177" s="2" t="s">
        <v>1376</v>
      </c>
      <c r="C177" s="2" t="str">
        <f>"989-2478"</f>
        <v>989-2478</v>
      </c>
      <c r="D177" s="2" t="str">
        <f>"岩沼市あさひ野1-8-20"</f>
        <v>岩沼市あさひ野1-8-20</v>
      </c>
      <c r="E177" s="2" t="str">
        <f>"0223-36-9789  "</f>
        <v xml:space="preserve">0223-36-9789  </v>
      </c>
      <c r="F177" s="2" t="s">
        <v>9</v>
      </c>
      <c r="G177" s="2" t="s">
        <v>1129</v>
      </c>
    </row>
    <row r="178" spans="1:7" ht="37.5" x14ac:dyDescent="0.4">
      <c r="A178" s="2">
        <v>177</v>
      </c>
      <c r="B178" s="2" t="s">
        <v>433</v>
      </c>
      <c r="C178" s="2" t="str">
        <f>"989-2478"</f>
        <v>989-2478</v>
      </c>
      <c r="D178" s="2" t="str">
        <f>"岩沼市あさひ野一丁目１１－２"</f>
        <v>岩沼市あさひ野一丁目１１－２</v>
      </c>
      <c r="E178" s="2" t="str">
        <f>"0223-35-7461  "</f>
        <v xml:space="preserve">0223-35-7461  </v>
      </c>
      <c r="F178" s="2" t="s">
        <v>6</v>
      </c>
      <c r="G178" s="2" t="s">
        <v>437</v>
      </c>
    </row>
    <row r="179" spans="1:7" ht="37.5" x14ac:dyDescent="0.4">
      <c r="A179" s="2">
        <v>178</v>
      </c>
      <c r="B179" s="2" t="s">
        <v>1370</v>
      </c>
      <c r="C179" s="2" t="str">
        <f>"989-2459"</f>
        <v>989-2459</v>
      </c>
      <c r="D179" s="2" t="str">
        <f>"岩沼市たけくま２－３－５７"</f>
        <v>岩沼市たけくま２－３－５７</v>
      </c>
      <c r="E179" s="2" t="str">
        <f>"0223-25-8160  "</f>
        <v xml:space="preserve">0223-25-8160  </v>
      </c>
      <c r="F179" s="2" t="s">
        <v>9</v>
      </c>
      <c r="G179" s="2" t="s">
        <v>1063</v>
      </c>
    </row>
    <row r="180" spans="1:7" ht="37.5" x14ac:dyDescent="0.4">
      <c r="A180" s="2">
        <v>179</v>
      </c>
      <c r="B180" s="2" t="s">
        <v>416</v>
      </c>
      <c r="C180" s="2" t="str">
        <f>"989-2459"</f>
        <v>989-2459</v>
      </c>
      <c r="D180" s="2" t="str">
        <f>"岩沼市たけくま２－４－１１"</f>
        <v>岩沼市たけくま２－４－１１</v>
      </c>
      <c r="E180" s="2" t="str">
        <f>"0223-25-4970  "</f>
        <v xml:space="preserve">0223-25-4970  </v>
      </c>
      <c r="F180" s="2" t="s">
        <v>6</v>
      </c>
      <c r="G180" s="2" t="s">
        <v>204</v>
      </c>
    </row>
    <row r="181" spans="1:7" ht="37.5" x14ac:dyDescent="0.4">
      <c r="A181" s="2">
        <v>180</v>
      </c>
      <c r="B181" s="2" t="s">
        <v>419</v>
      </c>
      <c r="C181" s="2" t="str">
        <f>"989-2459"</f>
        <v>989-2459</v>
      </c>
      <c r="D181" s="2" t="str">
        <f>"岩沼市たけくま２－４－１７号"</f>
        <v>岩沼市たけくま２－４－１７号</v>
      </c>
      <c r="E181" s="2" t="str">
        <f>"0223-25-6188  "</f>
        <v xml:space="preserve">0223-25-6188  </v>
      </c>
      <c r="F181" s="2" t="s">
        <v>6</v>
      </c>
      <c r="G181" s="2" t="s">
        <v>137</v>
      </c>
    </row>
    <row r="182" spans="1:7" ht="37.5" x14ac:dyDescent="0.4">
      <c r="A182" s="2">
        <v>181</v>
      </c>
      <c r="B182" s="2" t="s">
        <v>1363</v>
      </c>
      <c r="C182" s="2" t="str">
        <f>"989-2459"</f>
        <v>989-2459</v>
      </c>
      <c r="D182" s="2" t="str">
        <f>"岩沼市たけくま２－４－９号"</f>
        <v>岩沼市たけくま２－４－９号</v>
      </c>
      <c r="E182" s="2" t="str">
        <f>"0223-25-6227  "</f>
        <v xml:space="preserve">0223-25-6227  </v>
      </c>
      <c r="F182" s="2" t="s">
        <v>9</v>
      </c>
      <c r="G182" s="2" t="s">
        <v>1063</v>
      </c>
    </row>
    <row r="183" spans="1:7" ht="37.5" x14ac:dyDescent="0.4">
      <c r="A183" s="2">
        <v>182</v>
      </c>
      <c r="B183" s="2" t="s">
        <v>1366</v>
      </c>
      <c r="C183" s="2" t="str">
        <f>"989-2459"</f>
        <v>989-2459</v>
      </c>
      <c r="D183" s="2" t="str">
        <f>"岩沼市たけくま２丁目４－３"</f>
        <v>岩沼市たけくま２丁目４－３</v>
      </c>
      <c r="E183" s="2" t="str">
        <f>"0223-24-3930  "</f>
        <v xml:space="preserve">0223-24-3930  </v>
      </c>
      <c r="F183" s="2" t="s">
        <v>9</v>
      </c>
      <c r="G183" s="2" t="s">
        <v>1063</v>
      </c>
    </row>
    <row r="184" spans="1:7" ht="37.5" x14ac:dyDescent="0.4">
      <c r="A184" s="2">
        <v>183</v>
      </c>
      <c r="B184" s="2" t="s">
        <v>434</v>
      </c>
      <c r="C184" s="2" t="str">
        <f>"989-2423"</f>
        <v>989-2423</v>
      </c>
      <c r="D184" s="2" t="s">
        <v>435</v>
      </c>
      <c r="E184" s="2" t="str">
        <f>"0223-23-1639  "</f>
        <v xml:space="preserve">0223-23-1639  </v>
      </c>
      <c r="F184" s="2" t="s">
        <v>6</v>
      </c>
      <c r="G184" s="2" t="s">
        <v>204</v>
      </c>
    </row>
    <row r="185" spans="1:7" x14ac:dyDescent="0.4">
      <c r="A185" s="2">
        <v>184</v>
      </c>
      <c r="B185" s="2" t="s">
        <v>1368</v>
      </c>
      <c r="C185" s="2" t="str">
        <f>"989-2441"</f>
        <v>989-2441</v>
      </c>
      <c r="D185" s="2" t="str">
        <f>"岩沼市館下2-1-21"</f>
        <v>岩沼市館下2-1-21</v>
      </c>
      <c r="E185" s="2" t="str">
        <f>"0223-25-6358  "</f>
        <v xml:space="preserve">0223-25-6358  </v>
      </c>
      <c r="F185" s="2" t="s">
        <v>9</v>
      </c>
      <c r="G185" s="2" t="s">
        <v>1063</v>
      </c>
    </row>
    <row r="186" spans="1:7" ht="37.5" x14ac:dyDescent="0.4">
      <c r="A186" s="2">
        <v>185</v>
      </c>
      <c r="B186" s="2" t="s">
        <v>1373</v>
      </c>
      <c r="C186" s="2" t="str">
        <f>"989-2441"</f>
        <v>989-2441</v>
      </c>
      <c r="D186" s="2" t="str">
        <f>"岩沼市館下一丁目2-12-101"</f>
        <v>岩沼市館下一丁目2-12-101</v>
      </c>
      <c r="E186" s="2" t="str">
        <f>"0223-23-6777  "</f>
        <v xml:space="preserve">0223-23-6777  </v>
      </c>
      <c r="F186" s="2" t="s">
        <v>9</v>
      </c>
      <c r="G186" s="2" t="s">
        <v>1063</v>
      </c>
    </row>
    <row r="187" spans="1:7" ht="37.5" x14ac:dyDescent="0.4">
      <c r="A187" s="2">
        <v>186</v>
      </c>
      <c r="B187" s="2" t="s">
        <v>429</v>
      </c>
      <c r="C187" s="2" t="str">
        <f>"989-2441"</f>
        <v>989-2441</v>
      </c>
      <c r="D187" s="2" t="str">
        <f>"岩沼市舘下1-3-17"</f>
        <v>岩沼市舘下1-3-17</v>
      </c>
      <c r="E187" s="2" t="str">
        <f>"0223-24-1431  "</f>
        <v xml:space="preserve">0223-24-1431  </v>
      </c>
      <c r="F187" s="2" t="s">
        <v>6</v>
      </c>
      <c r="G187" s="2" t="s">
        <v>91</v>
      </c>
    </row>
    <row r="188" spans="1:7" ht="37.5" x14ac:dyDescent="0.4">
      <c r="A188" s="2">
        <v>187</v>
      </c>
      <c r="B188" s="2" t="s">
        <v>411</v>
      </c>
      <c r="C188" s="2" t="str">
        <f>"989-2445"</f>
        <v>989-2445</v>
      </c>
      <c r="D188" s="2" t="s">
        <v>412</v>
      </c>
      <c r="E188" s="2" t="str">
        <f>"0223-22-2293  "</f>
        <v xml:space="preserve">0223-22-2293  </v>
      </c>
      <c r="F188" s="2" t="s">
        <v>6</v>
      </c>
      <c r="G188" s="2" t="s">
        <v>413</v>
      </c>
    </row>
    <row r="189" spans="1:7" ht="37.5" x14ac:dyDescent="0.4">
      <c r="A189" s="2">
        <v>188</v>
      </c>
      <c r="B189" s="2" t="s">
        <v>426</v>
      </c>
      <c r="C189" s="2" t="str">
        <f>"989-2445"</f>
        <v>989-2445</v>
      </c>
      <c r="D189" s="2" t="s">
        <v>427</v>
      </c>
      <c r="E189" s="2" t="str">
        <f>"0223-25-6567  "</f>
        <v xml:space="preserve">0223-25-6567  </v>
      </c>
      <c r="F189" s="2" t="s">
        <v>6</v>
      </c>
      <c r="G189" s="2" t="s">
        <v>428</v>
      </c>
    </row>
    <row r="190" spans="1:7" ht="37.5" x14ac:dyDescent="0.4">
      <c r="A190" s="2">
        <v>189</v>
      </c>
      <c r="B190" s="2" t="s">
        <v>443</v>
      </c>
      <c r="C190" s="2" t="str">
        <f>"989-2429"</f>
        <v>989-2429</v>
      </c>
      <c r="D190" s="2" t="str">
        <f>"岩沼市恵み野２－２－２"</f>
        <v>岩沼市恵み野２－２－２</v>
      </c>
      <c r="E190" s="2" t="str">
        <f>"0223-29-3741  "</f>
        <v xml:space="preserve">0223-29-3741  </v>
      </c>
      <c r="F190" s="2" t="s">
        <v>6</v>
      </c>
      <c r="G190" s="2" t="s">
        <v>444</v>
      </c>
    </row>
    <row r="191" spans="1:7" x14ac:dyDescent="0.4">
      <c r="A191" s="2">
        <v>190</v>
      </c>
      <c r="B191" s="2" t="s">
        <v>1369</v>
      </c>
      <c r="C191" s="2" t="str">
        <f>"989-2429"</f>
        <v>989-2429</v>
      </c>
      <c r="D191" s="2" t="str">
        <f>"岩沼市恵み野２－５－１"</f>
        <v>岩沼市恵み野２－５－１</v>
      </c>
      <c r="E191" s="2" t="str">
        <f>"0223-25-5828  "</f>
        <v xml:space="preserve">0223-25-5828  </v>
      </c>
      <c r="F191" s="2" t="s">
        <v>9</v>
      </c>
      <c r="G191" s="2" t="s">
        <v>1063</v>
      </c>
    </row>
    <row r="192" spans="1:7" x14ac:dyDescent="0.4">
      <c r="A192" s="2">
        <v>191</v>
      </c>
      <c r="B192" s="2" t="s">
        <v>1303</v>
      </c>
      <c r="C192" s="2" t="str">
        <f>"989-2433"</f>
        <v>989-2433</v>
      </c>
      <c r="D192" s="2" t="s">
        <v>1362</v>
      </c>
      <c r="E192" s="2" t="str">
        <f>"0223-22-2383  "</f>
        <v xml:space="preserve">0223-22-2383  </v>
      </c>
      <c r="F192" s="2" t="s">
        <v>9</v>
      </c>
      <c r="G192" s="2" t="s">
        <v>1063</v>
      </c>
    </row>
    <row r="193" spans="1:7" x14ac:dyDescent="0.4">
      <c r="A193" s="2">
        <v>192</v>
      </c>
      <c r="B193" s="2" t="s">
        <v>1365</v>
      </c>
      <c r="C193" s="2" t="str">
        <f>"989-2433"</f>
        <v>989-2433</v>
      </c>
      <c r="D193" s="2" t="str">
        <f>"岩沼市桜１－２－２６"</f>
        <v>岩沼市桜１－２－２６</v>
      </c>
      <c r="E193" s="2" t="str">
        <f>"0223-36-9405  "</f>
        <v xml:space="preserve">0223-36-9405  </v>
      </c>
      <c r="F193" s="2" t="s">
        <v>9</v>
      </c>
      <c r="G193" s="2" t="s">
        <v>1063</v>
      </c>
    </row>
    <row r="194" spans="1:7" x14ac:dyDescent="0.4">
      <c r="A194" s="2">
        <v>193</v>
      </c>
      <c r="B194" s="2" t="s">
        <v>1385</v>
      </c>
      <c r="C194" s="2" t="str">
        <f>"989-2433"</f>
        <v>989-2433</v>
      </c>
      <c r="D194" s="2" t="str">
        <f>"岩沼市桜１丁目１－１０"</f>
        <v>岩沼市桜１丁目１－１０</v>
      </c>
      <c r="E194" s="2" t="str">
        <f>"0223-24-6990  "</f>
        <v xml:space="preserve">0223-24-6990  </v>
      </c>
      <c r="F194" s="2" t="s">
        <v>9</v>
      </c>
      <c r="G194" s="2" t="s">
        <v>1063</v>
      </c>
    </row>
    <row r="195" spans="1:7" ht="37.5" x14ac:dyDescent="0.4">
      <c r="A195" s="2">
        <v>194</v>
      </c>
      <c r="B195" s="2" t="s">
        <v>417</v>
      </c>
      <c r="C195" s="2" t="str">
        <f>"989-2433"</f>
        <v>989-2433</v>
      </c>
      <c r="D195" s="2" t="str">
        <f>"岩沼市桜1丁目1-11"</f>
        <v>岩沼市桜1丁目1-11</v>
      </c>
      <c r="E195" s="2" t="str">
        <f>"0223-22-1311  "</f>
        <v xml:space="preserve">0223-22-1311  </v>
      </c>
      <c r="F195" s="2" t="s">
        <v>6</v>
      </c>
      <c r="G195" s="2" t="s">
        <v>18</v>
      </c>
    </row>
    <row r="196" spans="1:7" ht="37.5" x14ac:dyDescent="0.4">
      <c r="A196" s="2">
        <v>195</v>
      </c>
      <c r="B196" s="2" t="s">
        <v>1377</v>
      </c>
      <c r="C196" s="2" t="str">
        <f>"989-2433"</f>
        <v>989-2433</v>
      </c>
      <c r="D196" s="2" t="str">
        <f>"岩沼市桜２丁目４番－１－１号"</f>
        <v>岩沼市桜２丁目４番－１－１号</v>
      </c>
      <c r="E196" s="2" t="str">
        <f>"0223-23-0306  "</f>
        <v xml:space="preserve">0223-23-0306  </v>
      </c>
      <c r="F196" s="2" t="s">
        <v>9</v>
      </c>
      <c r="G196" s="2" t="s">
        <v>1129</v>
      </c>
    </row>
    <row r="197" spans="1:7" x14ac:dyDescent="0.4">
      <c r="A197" s="2">
        <v>196</v>
      </c>
      <c r="B197" s="2" t="s">
        <v>436</v>
      </c>
      <c r="C197" s="2" t="str">
        <f>"989-2433"</f>
        <v>989-2433</v>
      </c>
      <c r="D197" s="2" t="s">
        <v>438</v>
      </c>
      <c r="E197" s="2" t="str">
        <f>"0223-35-7701  "</f>
        <v xml:space="preserve">0223-35-7701  </v>
      </c>
      <c r="F197" s="2" t="s">
        <v>6</v>
      </c>
      <c r="G197" s="2" t="s">
        <v>28</v>
      </c>
    </row>
    <row r="198" spans="1:7" x14ac:dyDescent="0.4">
      <c r="A198" s="2">
        <v>197</v>
      </c>
      <c r="B198" s="2" t="s">
        <v>1384</v>
      </c>
      <c r="C198" s="2" t="str">
        <f>"989-2433"</f>
        <v>989-2433</v>
      </c>
      <c r="D198" s="2" t="str">
        <f>"岩沼市桜二丁目２－１４"</f>
        <v>岩沼市桜二丁目２－１４</v>
      </c>
      <c r="E198" s="2" t="str">
        <f>"0223-23-0801  "</f>
        <v xml:space="preserve">0223-23-0801  </v>
      </c>
      <c r="F198" s="2" t="s">
        <v>9</v>
      </c>
      <c r="G198" s="2" t="s">
        <v>1063</v>
      </c>
    </row>
    <row r="199" spans="1:7" ht="37.5" x14ac:dyDescent="0.4">
      <c r="A199" s="2">
        <v>198</v>
      </c>
      <c r="B199" s="2" t="s">
        <v>406</v>
      </c>
      <c r="C199" s="2" t="str">
        <f>"989-2425"</f>
        <v>989-2425</v>
      </c>
      <c r="D199" s="2" t="s">
        <v>407</v>
      </c>
      <c r="E199" s="2" t="str">
        <f>"0223-24-1861  "</f>
        <v xml:space="preserve">0223-24-1861  </v>
      </c>
      <c r="F199" s="2" t="s">
        <v>6</v>
      </c>
      <c r="G199" s="2" t="s">
        <v>408</v>
      </c>
    </row>
    <row r="200" spans="1:7" ht="37.5" x14ac:dyDescent="0.4">
      <c r="A200" s="2">
        <v>199</v>
      </c>
      <c r="B200" s="2" t="s">
        <v>1819</v>
      </c>
      <c r="C200" s="2" t="str">
        <f>"989-2436"</f>
        <v>989-2436</v>
      </c>
      <c r="D200" s="2" t="str">
        <f>"岩沼市吹上３－６－１７"</f>
        <v>岩沼市吹上３－６－１７</v>
      </c>
      <c r="E200" s="2" t="str">
        <f>"0223-36-7538  "</f>
        <v xml:space="preserve">0223-36-7538  </v>
      </c>
      <c r="F200" s="2" t="s">
        <v>11</v>
      </c>
      <c r="G200" s="2" t="s">
        <v>1151</v>
      </c>
    </row>
    <row r="201" spans="1:7" x14ac:dyDescent="0.4">
      <c r="A201" s="2">
        <v>200</v>
      </c>
      <c r="B201" s="2" t="s">
        <v>1367</v>
      </c>
      <c r="C201" s="2" t="str">
        <f>"989-2442"</f>
        <v>989-2442</v>
      </c>
      <c r="D201" s="2" t="str">
        <f>"岩沼市大手町6-28"</f>
        <v>岩沼市大手町6-28</v>
      </c>
      <c r="E201" s="2" t="str">
        <f>"0223-24-4375  "</f>
        <v xml:space="preserve">0223-24-4375  </v>
      </c>
      <c r="F201" s="2" t="s">
        <v>9</v>
      </c>
      <c r="G201" s="2" t="s">
        <v>1063</v>
      </c>
    </row>
    <row r="202" spans="1:7" x14ac:dyDescent="0.4">
      <c r="A202" s="2">
        <v>201</v>
      </c>
      <c r="B202" s="2" t="s">
        <v>420</v>
      </c>
      <c r="C202" s="2" t="str">
        <f>"989-2442"</f>
        <v>989-2442</v>
      </c>
      <c r="D202" s="2" t="str">
        <f>"岩沼市大手町８－１１"</f>
        <v>岩沼市大手町８－１１</v>
      </c>
      <c r="E202" s="2" t="str">
        <f>"0223-22-2693  "</f>
        <v xml:space="preserve">0223-22-2693  </v>
      </c>
      <c r="F202" s="2" t="s">
        <v>6</v>
      </c>
      <c r="G202" s="2" t="s">
        <v>122</v>
      </c>
    </row>
    <row r="203" spans="1:7" ht="37.5" x14ac:dyDescent="0.4">
      <c r="A203" s="2">
        <v>202</v>
      </c>
      <c r="B203" s="2" t="s">
        <v>1813</v>
      </c>
      <c r="C203" s="2" t="str">
        <f>"989-2442"</f>
        <v>989-2442</v>
      </c>
      <c r="D203" s="2" t="s">
        <v>1814</v>
      </c>
      <c r="E203" s="2" t="str">
        <f>"0223-25-2210  "</f>
        <v xml:space="preserve">0223-25-2210  </v>
      </c>
      <c r="F203" s="2" t="s">
        <v>11</v>
      </c>
      <c r="G203" s="2" t="s">
        <v>1151</v>
      </c>
    </row>
    <row r="204" spans="1:7" ht="37.5" x14ac:dyDescent="0.4">
      <c r="A204" s="2">
        <v>203</v>
      </c>
      <c r="B204" s="2" t="s">
        <v>980</v>
      </c>
      <c r="C204" s="2" t="str">
        <f>"989-2458"</f>
        <v>989-2458</v>
      </c>
      <c r="D204" s="2" t="s">
        <v>981</v>
      </c>
      <c r="E204" s="2" t="str">
        <f>"0223-23-4120  "</f>
        <v xml:space="preserve">0223-23-4120  </v>
      </c>
      <c r="F204" s="2" t="s">
        <v>6</v>
      </c>
      <c r="G204" s="2" t="s">
        <v>982</v>
      </c>
    </row>
    <row r="205" spans="1:7" ht="37.5" x14ac:dyDescent="0.4">
      <c r="A205" s="2">
        <v>204</v>
      </c>
      <c r="B205" s="2" t="s">
        <v>1357</v>
      </c>
      <c r="C205" s="2" t="str">
        <f>"989-2432"</f>
        <v>989-2432</v>
      </c>
      <c r="D205" s="2" t="s">
        <v>1358</v>
      </c>
      <c r="E205" s="2" t="str">
        <f>"0223-22-2658  "</f>
        <v xml:space="preserve">0223-22-2658  </v>
      </c>
      <c r="F205" s="2" t="s">
        <v>9</v>
      </c>
      <c r="G205" s="2" t="s">
        <v>1063</v>
      </c>
    </row>
    <row r="206" spans="1:7" ht="37.5" x14ac:dyDescent="0.4">
      <c r="A206" s="2">
        <v>205</v>
      </c>
      <c r="B206" s="2" t="s">
        <v>1360</v>
      </c>
      <c r="C206" s="2" t="str">
        <f>"989-2432"</f>
        <v>989-2432</v>
      </c>
      <c r="D206" s="2" t="s">
        <v>1361</v>
      </c>
      <c r="E206" s="2" t="str">
        <f>"0223-22-6780  "</f>
        <v xml:space="preserve">0223-22-6780  </v>
      </c>
      <c r="F206" s="2" t="s">
        <v>9</v>
      </c>
      <c r="G206" s="2" t="s">
        <v>1063</v>
      </c>
    </row>
    <row r="207" spans="1:7" x14ac:dyDescent="0.4">
      <c r="A207" s="2">
        <v>206</v>
      </c>
      <c r="B207" s="2" t="s">
        <v>1371</v>
      </c>
      <c r="C207" s="2" t="str">
        <f>"989-2432"</f>
        <v>989-2432</v>
      </c>
      <c r="D207" s="2" t="str">
        <f>"岩沼市中央２－４－３"</f>
        <v>岩沼市中央２－４－３</v>
      </c>
      <c r="E207" s="2" t="str">
        <f>"0223-23-1763  "</f>
        <v xml:space="preserve">0223-23-1763  </v>
      </c>
      <c r="F207" s="2" t="s">
        <v>9</v>
      </c>
      <c r="G207" s="2" t="s">
        <v>1063</v>
      </c>
    </row>
    <row r="208" spans="1:7" ht="37.5" x14ac:dyDescent="0.4">
      <c r="A208" s="2">
        <v>207</v>
      </c>
      <c r="B208" s="2" t="s">
        <v>1810</v>
      </c>
      <c r="C208" s="2" t="str">
        <f>"989-2432"</f>
        <v>989-2432</v>
      </c>
      <c r="D208" s="2" t="str">
        <f>"岩沼市中央２－５－１２"</f>
        <v>岩沼市中央２－５－１２</v>
      </c>
      <c r="E208" s="2" t="str">
        <f>"0223-25-6738  "</f>
        <v xml:space="preserve">0223-25-6738  </v>
      </c>
      <c r="F208" s="2" t="s">
        <v>11</v>
      </c>
      <c r="G208" s="2" t="s">
        <v>1151</v>
      </c>
    </row>
    <row r="209" spans="1:7" ht="37.5" x14ac:dyDescent="0.4">
      <c r="A209" s="2">
        <v>208</v>
      </c>
      <c r="B209" s="2" t="s">
        <v>1382</v>
      </c>
      <c r="C209" s="2" t="str">
        <f>"989-2432"</f>
        <v>989-2432</v>
      </c>
      <c r="D209" s="2" t="s">
        <v>1383</v>
      </c>
      <c r="E209" s="2" t="str">
        <f>"0223-35-6835  "</f>
        <v xml:space="preserve">0223-35-6835  </v>
      </c>
      <c r="F209" s="2" t="s">
        <v>9</v>
      </c>
      <c r="G209" s="2" t="s">
        <v>1063</v>
      </c>
    </row>
    <row r="210" spans="1:7" ht="37.5" x14ac:dyDescent="0.4">
      <c r="A210" s="2">
        <v>209</v>
      </c>
      <c r="B210" s="2" t="s">
        <v>1817</v>
      </c>
      <c r="C210" s="2" t="str">
        <f>"989-2432"</f>
        <v>989-2432</v>
      </c>
      <c r="D210" s="2" t="s">
        <v>1818</v>
      </c>
      <c r="E210" s="2" t="str">
        <f>"0223-22-2848  "</f>
        <v xml:space="preserve">0223-22-2848  </v>
      </c>
      <c r="F210" s="2" t="s">
        <v>11</v>
      </c>
      <c r="G210" s="2" t="s">
        <v>1151</v>
      </c>
    </row>
    <row r="211" spans="1:7" x14ac:dyDescent="0.4">
      <c r="A211" s="2">
        <v>210</v>
      </c>
      <c r="B211" s="2" t="s">
        <v>1364</v>
      </c>
      <c r="C211" s="2" t="str">
        <f>"989-2432"</f>
        <v>989-2432</v>
      </c>
      <c r="D211" s="2" t="str">
        <f>"岩沼市中央３－４－２０"</f>
        <v>岩沼市中央３－４－２０</v>
      </c>
      <c r="E211" s="2" t="str">
        <f>"0223-23-5010  "</f>
        <v xml:space="preserve">0223-23-5010  </v>
      </c>
      <c r="F211" s="2" t="s">
        <v>9</v>
      </c>
      <c r="G211" s="2" t="s">
        <v>1063</v>
      </c>
    </row>
    <row r="212" spans="1:7" ht="37.5" x14ac:dyDescent="0.4">
      <c r="A212" s="2">
        <v>211</v>
      </c>
      <c r="B212" s="2" t="s">
        <v>421</v>
      </c>
      <c r="C212" s="2" t="str">
        <f>"989-2432"</f>
        <v>989-2432</v>
      </c>
      <c r="D212" s="2" t="s">
        <v>422</v>
      </c>
      <c r="E212" s="2" t="str">
        <f>"0223-24-2100  "</f>
        <v xml:space="preserve">0223-24-2100  </v>
      </c>
      <c r="F212" s="2" t="s">
        <v>6</v>
      </c>
      <c r="G212" s="2" t="s">
        <v>423</v>
      </c>
    </row>
    <row r="213" spans="1:7" x14ac:dyDescent="0.4">
      <c r="A213" s="2">
        <v>212</v>
      </c>
      <c r="B213" s="2" t="s">
        <v>1372</v>
      </c>
      <c r="C213" s="2" t="str">
        <f>"989-2432"</f>
        <v>989-2432</v>
      </c>
      <c r="D213" s="2" t="str">
        <f>"岩沼市中央一丁目3-10"</f>
        <v>岩沼市中央一丁目3-10</v>
      </c>
      <c r="E213" s="2" t="str">
        <f>"0223-23-1733  "</f>
        <v xml:space="preserve">0223-23-1733  </v>
      </c>
      <c r="F213" s="2" t="s">
        <v>9</v>
      </c>
      <c r="G213" s="2" t="s">
        <v>1063</v>
      </c>
    </row>
    <row r="214" spans="1:7" ht="37.5" x14ac:dyDescent="0.4">
      <c r="A214" s="2">
        <v>213</v>
      </c>
      <c r="B214" s="2" t="s">
        <v>424</v>
      </c>
      <c r="C214" s="2" t="str">
        <f>"989-2432"</f>
        <v>989-2432</v>
      </c>
      <c r="D214" s="2" t="s">
        <v>425</v>
      </c>
      <c r="E214" s="2" t="str">
        <f>"0223-22-5111  "</f>
        <v xml:space="preserve">0223-22-5111  </v>
      </c>
      <c r="F214" s="2" t="s">
        <v>6</v>
      </c>
      <c r="G214" s="2" t="s">
        <v>204</v>
      </c>
    </row>
    <row r="215" spans="1:7" ht="37.5" x14ac:dyDescent="0.4">
      <c r="A215" s="2">
        <v>214</v>
      </c>
      <c r="B215" s="2" t="s">
        <v>1379</v>
      </c>
      <c r="C215" s="2" t="str">
        <f>"989-2432"</f>
        <v>989-2432</v>
      </c>
      <c r="D215" s="2" t="str">
        <f>"岩沼市中央四丁目１１－１３"</f>
        <v>岩沼市中央四丁目１１－１３</v>
      </c>
      <c r="E215" s="2" t="str">
        <f>"0223-25-6272  "</f>
        <v xml:space="preserve">0223-25-6272  </v>
      </c>
      <c r="F215" s="2" t="s">
        <v>9</v>
      </c>
      <c r="G215" s="2" t="s">
        <v>1129</v>
      </c>
    </row>
    <row r="216" spans="1:7" ht="37.5" x14ac:dyDescent="0.4">
      <c r="A216" s="2">
        <v>215</v>
      </c>
      <c r="B216" s="2" t="s">
        <v>414</v>
      </c>
      <c r="C216" s="2" t="str">
        <f>"989-2451"</f>
        <v>989-2451</v>
      </c>
      <c r="D216" s="2" t="str">
        <f>"岩沼市土ケ崎　４－１－１２"</f>
        <v>岩沼市土ケ崎　４－１－１２</v>
      </c>
      <c r="E216" s="2" t="str">
        <f>"0223-25-2711  "</f>
        <v xml:space="preserve">0223-25-2711  </v>
      </c>
      <c r="F216" s="2" t="s">
        <v>6</v>
      </c>
      <c r="G216" s="2" t="s">
        <v>415</v>
      </c>
    </row>
    <row r="217" spans="1:7" ht="37.5" x14ac:dyDescent="0.4">
      <c r="A217" s="2">
        <v>216</v>
      </c>
      <c r="B217" s="2" t="s">
        <v>439</v>
      </c>
      <c r="C217" s="2" t="str">
        <f>"989-2451"</f>
        <v>989-2451</v>
      </c>
      <c r="D217" s="2" t="str">
        <f>"岩沼市土ケ崎２丁目３－１０"</f>
        <v>岩沼市土ケ崎２丁目３－１０</v>
      </c>
      <c r="E217" s="2" t="str">
        <f>"0223-23-0170  "</f>
        <v xml:space="preserve">0223-23-0170  </v>
      </c>
      <c r="F217" s="2" t="s">
        <v>6</v>
      </c>
      <c r="G217" s="2" t="s">
        <v>440</v>
      </c>
    </row>
    <row r="218" spans="1:7" ht="37.5" x14ac:dyDescent="0.4">
      <c r="A218" s="2">
        <v>217</v>
      </c>
      <c r="B218" s="2" t="s">
        <v>1381</v>
      </c>
      <c r="C218" s="2" t="str">
        <f>"989-2451"</f>
        <v>989-2451</v>
      </c>
      <c r="D218" s="2" t="str">
        <f>"岩沼市土ケ崎２丁目３－８"</f>
        <v>岩沼市土ケ崎２丁目３－８</v>
      </c>
      <c r="E218" s="2" t="str">
        <f>"0223-35-7256  "</f>
        <v xml:space="preserve">0223-35-7256  </v>
      </c>
      <c r="F218" s="2" t="s">
        <v>9</v>
      </c>
      <c r="G218" s="2" t="s">
        <v>1063</v>
      </c>
    </row>
    <row r="219" spans="1:7" x14ac:dyDescent="0.4">
      <c r="A219" s="2">
        <v>218</v>
      </c>
      <c r="B219" s="2" t="s">
        <v>1374</v>
      </c>
      <c r="C219" s="2" t="str">
        <f>"989-2451"</f>
        <v>989-2451</v>
      </c>
      <c r="D219" s="2" t="str">
        <f>"岩沼市土ケ崎3-5-10"</f>
        <v>岩沼市土ケ崎3-5-10</v>
      </c>
      <c r="E219" s="2" t="str">
        <f>"0223-25-2866  "</f>
        <v xml:space="preserve">0223-25-2866  </v>
      </c>
      <c r="F219" s="2" t="s">
        <v>9</v>
      </c>
      <c r="G219" s="2" t="s">
        <v>1063</v>
      </c>
    </row>
    <row r="220" spans="1:7" ht="37.5" x14ac:dyDescent="0.4">
      <c r="A220" s="2">
        <v>219</v>
      </c>
      <c r="B220" s="2" t="s">
        <v>418</v>
      </c>
      <c r="C220" s="2" t="str">
        <f>"989-2451"</f>
        <v>989-2451</v>
      </c>
      <c r="D220" s="2" t="s">
        <v>441</v>
      </c>
      <c r="E220" s="2" t="str">
        <f>"0223-22-1818  "</f>
        <v xml:space="preserve">0223-22-1818  </v>
      </c>
      <c r="F220" s="2" t="s">
        <v>6</v>
      </c>
      <c r="G220" s="2" t="s">
        <v>442</v>
      </c>
    </row>
    <row r="221" spans="1:7" x14ac:dyDescent="0.4">
      <c r="A221" s="2">
        <v>220</v>
      </c>
      <c r="B221" s="2" t="s">
        <v>1380</v>
      </c>
      <c r="C221" s="2" t="str">
        <f>"989-2434"</f>
        <v>989-2434</v>
      </c>
      <c r="D221" s="2" t="str">
        <f>"岩沼市藤浪１－４－１０"</f>
        <v>岩沼市藤浪１－４－１０</v>
      </c>
      <c r="E221" s="2" t="str">
        <f>"0223-23-0865  "</f>
        <v xml:space="preserve">0223-23-0865  </v>
      </c>
      <c r="F221" s="2" t="s">
        <v>9</v>
      </c>
      <c r="G221" s="2" t="s">
        <v>1063</v>
      </c>
    </row>
    <row r="222" spans="1:7" ht="37.5" x14ac:dyDescent="0.4">
      <c r="A222" s="2">
        <v>221</v>
      </c>
      <c r="B222" s="2" t="s">
        <v>1815</v>
      </c>
      <c r="C222" s="2" t="str">
        <f>"989-3224"</f>
        <v>989-3224</v>
      </c>
      <c r="D222" s="2" t="s">
        <v>1816</v>
      </c>
      <c r="E222" s="2" t="str">
        <f>"0223-36-9302  "</f>
        <v xml:space="preserve">0223-36-9302  </v>
      </c>
      <c r="F222" s="2" t="s">
        <v>11</v>
      </c>
      <c r="G222" s="2" t="s">
        <v>1151</v>
      </c>
    </row>
    <row r="223" spans="1:7" ht="37.5" x14ac:dyDescent="0.4">
      <c r="A223" s="2">
        <v>222</v>
      </c>
      <c r="B223" s="2" t="s">
        <v>979</v>
      </c>
      <c r="C223" s="2" t="str">
        <f>"989-2448"</f>
        <v>989-2448</v>
      </c>
      <c r="D223" s="2" t="str">
        <f>"岩沼市二木１－１４－２１"</f>
        <v>岩沼市二木１－１４－２１</v>
      </c>
      <c r="E223" s="2" t="str">
        <f>"0223-24-2598  "</f>
        <v xml:space="preserve">0223-24-2598  </v>
      </c>
      <c r="F223" s="2" t="s">
        <v>6</v>
      </c>
      <c r="G223" s="2" t="s">
        <v>902</v>
      </c>
    </row>
    <row r="224" spans="1:7" x14ac:dyDescent="0.4">
      <c r="A224" s="2">
        <v>223</v>
      </c>
      <c r="B224" s="2" t="s">
        <v>1378</v>
      </c>
      <c r="C224" s="2" t="str">
        <f>"989-2448"</f>
        <v>989-2448</v>
      </c>
      <c r="D224" s="2" t="str">
        <f>"岩沼市二木二丁目１－１"</f>
        <v>岩沼市二木二丁目１－１</v>
      </c>
      <c r="E224" s="2" t="str">
        <f>"0223-36-7897  "</f>
        <v xml:space="preserve">0223-36-7897  </v>
      </c>
      <c r="F224" s="2" t="s">
        <v>9</v>
      </c>
      <c r="G224" s="2" t="s">
        <v>1129</v>
      </c>
    </row>
    <row r="225" spans="1:7" ht="37.5" x14ac:dyDescent="0.4">
      <c r="A225" s="2">
        <v>224</v>
      </c>
      <c r="B225" s="2" t="s">
        <v>409</v>
      </c>
      <c r="C225" s="2" t="str">
        <f>"989-2455"</f>
        <v>989-2455</v>
      </c>
      <c r="D225" s="2" t="str">
        <f>"岩沼市北長谷字畑向山南　２７－２"</f>
        <v>岩沼市北長谷字畑向山南　２７－２</v>
      </c>
      <c r="E225" s="2" t="str">
        <f>"0223-23-2678  "</f>
        <v xml:space="preserve">0223-23-2678  </v>
      </c>
      <c r="F225" s="2" t="s">
        <v>6</v>
      </c>
      <c r="G225" s="2" t="s">
        <v>410</v>
      </c>
    </row>
    <row r="226" spans="1:7" ht="37.5" x14ac:dyDescent="0.4">
      <c r="A226" s="2">
        <v>225</v>
      </c>
      <c r="B226" s="2" t="s">
        <v>430</v>
      </c>
      <c r="C226" s="2" t="str">
        <f>"989-2455"</f>
        <v>989-2455</v>
      </c>
      <c r="D226" s="2" t="s">
        <v>431</v>
      </c>
      <c r="E226" s="2" t="str">
        <f>"0223-24-1211  "</f>
        <v xml:space="preserve">0223-24-1211  </v>
      </c>
      <c r="F226" s="2" t="s">
        <v>6</v>
      </c>
      <c r="G226" s="2" t="s">
        <v>432</v>
      </c>
    </row>
    <row r="227" spans="1:7" x14ac:dyDescent="0.4">
      <c r="A227" s="2">
        <v>226</v>
      </c>
      <c r="B227" s="2" t="s">
        <v>1359</v>
      </c>
      <c r="C227" s="2" t="str">
        <f>"989-2426"</f>
        <v>989-2426</v>
      </c>
      <c r="D227" s="2" t="str">
        <f>"岩沼市末広　２－２－７"</f>
        <v>岩沼市末広　２－２－７</v>
      </c>
      <c r="E227" s="2" t="str">
        <f>"0223-23-2205  "</f>
        <v xml:space="preserve">0223-23-2205  </v>
      </c>
      <c r="F227" s="2" t="s">
        <v>9</v>
      </c>
      <c r="G227" s="2" t="s">
        <v>1063</v>
      </c>
    </row>
    <row r="228" spans="1:7" ht="112.5" x14ac:dyDescent="0.4">
      <c r="A228" s="2">
        <v>227</v>
      </c>
      <c r="B228" s="2" t="s">
        <v>404</v>
      </c>
      <c r="C228" s="2" t="str">
        <f>"989-2483"</f>
        <v>989-2483</v>
      </c>
      <c r="D228" s="2" t="str">
        <f>"岩沼市里の杜　１－２－５"</f>
        <v>岩沼市里の杜　１－２－５</v>
      </c>
      <c r="E228" s="2" t="str">
        <f>"0223-23-3151  "</f>
        <v xml:space="preserve">0223-23-3151  </v>
      </c>
      <c r="F228" s="2" t="s">
        <v>6</v>
      </c>
      <c r="G228" s="2" t="s">
        <v>405</v>
      </c>
    </row>
    <row r="229" spans="1:7" x14ac:dyDescent="0.4">
      <c r="A229" s="2">
        <v>228</v>
      </c>
      <c r="B229" s="2" t="s">
        <v>1375</v>
      </c>
      <c r="C229" s="2" t="str">
        <f>"989-2427"</f>
        <v>989-2427</v>
      </c>
      <c r="D229" s="2" t="str">
        <f>"岩沼市里の杜1-2-2"</f>
        <v>岩沼市里の杜1-2-2</v>
      </c>
      <c r="E229" s="2" t="str">
        <f>"0223-25-6555  "</f>
        <v xml:space="preserve">0223-25-6555  </v>
      </c>
      <c r="F229" s="2" t="s">
        <v>9</v>
      </c>
      <c r="G229" s="2" t="s">
        <v>1129</v>
      </c>
    </row>
    <row r="230" spans="1:7" ht="37.5" x14ac:dyDescent="0.4">
      <c r="A230" s="2">
        <v>229</v>
      </c>
      <c r="B230" s="2" t="s">
        <v>1811</v>
      </c>
      <c r="C230" s="2" t="str">
        <f>"989-2427"</f>
        <v>989-2427</v>
      </c>
      <c r="D230" s="2" t="s">
        <v>1812</v>
      </c>
      <c r="E230" s="2" t="str">
        <f>"0223-23-4566  "</f>
        <v xml:space="preserve">0223-23-4566  </v>
      </c>
      <c r="F230" s="2" t="s">
        <v>11</v>
      </c>
      <c r="G230" s="2" t="s">
        <v>1151</v>
      </c>
    </row>
    <row r="231" spans="1:7" ht="37.5" x14ac:dyDescent="0.4">
      <c r="A231" s="2">
        <v>230</v>
      </c>
      <c r="B231" s="2" t="s">
        <v>1785</v>
      </c>
      <c r="C231" s="2" t="str">
        <f>"988-0076"</f>
        <v>988-0076</v>
      </c>
      <c r="D231" s="2" t="str">
        <f>"気仙沼市舘山１ー１－４３"</f>
        <v>気仙沼市舘山１ー１－４３</v>
      </c>
      <c r="E231" s="2" t="str">
        <f>"0226-23-5323  "</f>
        <v xml:space="preserve">0226-23-5323  </v>
      </c>
      <c r="F231" s="2" t="s">
        <v>11</v>
      </c>
      <c r="G231" s="2" t="s">
        <v>1151</v>
      </c>
    </row>
    <row r="232" spans="1:7" ht="37.5" x14ac:dyDescent="0.4">
      <c r="A232" s="2">
        <v>231</v>
      </c>
      <c r="B232" s="2" t="s">
        <v>1206</v>
      </c>
      <c r="C232" s="2" t="str">
        <f>"988-0077"</f>
        <v>988-0077</v>
      </c>
      <c r="D232" s="2" t="str">
        <f>"気仙沼市古町３－２－４６"</f>
        <v>気仙沼市古町３－２－４６</v>
      </c>
      <c r="E232" s="2" t="str">
        <f>"0226-23-1435  "</f>
        <v xml:space="preserve">0226-23-1435  </v>
      </c>
      <c r="F232" s="2" t="s">
        <v>9</v>
      </c>
      <c r="G232" s="2" t="s">
        <v>1063</v>
      </c>
    </row>
    <row r="233" spans="1:7" x14ac:dyDescent="0.4">
      <c r="A233" s="2">
        <v>232</v>
      </c>
      <c r="B233" s="2" t="s">
        <v>1210</v>
      </c>
      <c r="C233" s="2" t="str">
        <f>"988-0613"</f>
        <v>988-0613</v>
      </c>
      <c r="D233" s="2" t="str">
        <f>"気仙沼市高井２１５－２"</f>
        <v>気仙沼市高井２１５－２</v>
      </c>
      <c r="E233" s="2" t="str">
        <f>"0226-48-5890  "</f>
        <v xml:space="preserve">0226-48-5890  </v>
      </c>
      <c r="F233" s="2" t="s">
        <v>9</v>
      </c>
      <c r="G233" s="2" t="s">
        <v>1063</v>
      </c>
    </row>
    <row r="234" spans="1:7" ht="56.25" x14ac:dyDescent="0.4">
      <c r="A234" s="2">
        <v>233</v>
      </c>
      <c r="B234" s="2" t="s">
        <v>1784</v>
      </c>
      <c r="C234" s="2" t="str">
        <f>"988-0085"</f>
        <v>988-0085</v>
      </c>
      <c r="D234" s="2" t="str">
        <f>"気仙沼市三日町１－２－２８"</f>
        <v>気仙沼市三日町１－２－２８</v>
      </c>
      <c r="E234" s="2" t="str">
        <f>"0226-22-6895  "</f>
        <v xml:space="preserve">0226-22-6895  </v>
      </c>
      <c r="F234" s="2" t="s">
        <v>11</v>
      </c>
      <c r="G234" s="2" t="s">
        <v>1151</v>
      </c>
    </row>
    <row r="235" spans="1:7" ht="37.5" x14ac:dyDescent="0.4">
      <c r="A235" s="2">
        <v>234</v>
      </c>
      <c r="B235" s="2" t="s">
        <v>1223</v>
      </c>
      <c r="C235" s="2" t="str">
        <f>"988-0085"</f>
        <v>988-0085</v>
      </c>
      <c r="D235" s="2" t="str">
        <f>"気仙沼市三日町２－２－１１"</f>
        <v>気仙沼市三日町２－２－１１</v>
      </c>
      <c r="E235" s="2" t="str">
        <f>"0226-25-7261  "</f>
        <v xml:space="preserve">0226-25-7261  </v>
      </c>
      <c r="F235" s="2" t="s">
        <v>9</v>
      </c>
      <c r="G235" s="2" t="s">
        <v>1063</v>
      </c>
    </row>
    <row r="236" spans="1:7" ht="37.5" x14ac:dyDescent="0.4">
      <c r="A236" s="2">
        <v>235</v>
      </c>
      <c r="B236" s="2" t="s">
        <v>209</v>
      </c>
      <c r="C236" s="2" t="str">
        <f>"988-0085"</f>
        <v>988-0085</v>
      </c>
      <c r="D236" s="2" t="str">
        <f>"気仙沼市三日町二丁目２－２５"</f>
        <v>気仙沼市三日町二丁目２－２５</v>
      </c>
      <c r="E236" s="2" t="str">
        <f>"0226-22-6868  "</f>
        <v xml:space="preserve">0226-22-6868  </v>
      </c>
      <c r="F236" s="2" t="s">
        <v>6</v>
      </c>
      <c r="G236" s="2" t="s">
        <v>210</v>
      </c>
    </row>
    <row r="237" spans="1:7" ht="37.5" x14ac:dyDescent="0.4">
      <c r="A237" s="2">
        <v>236</v>
      </c>
      <c r="B237" s="2" t="s">
        <v>1211</v>
      </c>
      <c r="C237" s="2" t="str">
        <f>"988-0121"</f>
        <v>988-0121</v>
      </c>
      <c r="D237" s="2" t="str">
        <f>"気仙沼市松崎萱１２１－１"</f>
        <v>気仙沼市松崎萱１２１－１</v>
      </c>
      <c r="E237" s="2" t="str">
        <f>"0226-25-8456  "</f>
        <v xml:space="preserve">0226-25-8456  </v>
      </c>
      <c r="F237" s="2" t="s">
        <v>9</v>
      </c>
      <c r="G237" s="2" t="s">
        <v>1063</v>
      </c>
    </row>
    <row r="238" spans="1:7" ht="37.5" x14ac:dyDescent="0.4">
      <c r="A238" s="2">
        <v>237</v>
      </c>
      <c r="B238" s="2" t="s">
        <v>1786</v>
      </c>
      <c r="C238" s="2" t="str">
        <f>"988-0122"</f>
        <v>988-0122</v>
      </c>
      <c r="D238" s="2" t="str">
        <f>"気仙沼市松崎五駄鱈１３－３末永アパート１号棟"</f>
        <v>気仙沼市松崎五駄鱈１３－３末永アパート１号棟</v>
      </c>
      <c r="E238" s="2" t="str">
        <f>"0226-29-6113  "</f>
        <v xml:space="preserve">0226-29-6113  </v>
      </c>
      <c r="F238" s="2" t="s">
        <v>11</v>
      </c>
      <c r="G238" s="2" t="s">
        <v>1151</v>
      </c>
    </row>
    <row r="239" spans="1:7" ht="37.5" x14ac:dyDescent="0.4">
      <c r="A239" s="2">
        <v>238</v>
      </c>
      <c r="B239" s="2" t="s">
        <v>1195</v>
      </c>
      <c r="C239" s="2" t="str">
        <f>"988-0141"</f>
        <v>988-0141</v>
      </c>
      <c r="D239" s="2" t="str">
        <f>"気仙沼市松崎柳沢　２１８－５"</f>
        <v>気仙沼市松崎柳沢　２１８－５</v>
      </c>
      <c r="E239" s="2" t="str">
        <f>"0226-21-1217  "</f>
        <v xml:space="preserve">0226-21-1217  </v>
      </c>
      <c r="F239" s="2" t="s">
        <v>9</v>
      </c>
      <c r="G239" s="2" t="s">
        <v>1063</v>
      </c>
    </row>
    <row r="240" spans="1:7" ht="37.5" x14ac:dyDescent="0.4">
      <c r="A240" s="2">
        <v>239</v>
      </c>
      <c r="B240" s="2" t="s">
        <v>187</v>
      </c>
      <c r="C240" s="2" t="str">
        <f>"988-0141"</f>
        <v>988-0141</v>
      </c>
      <c r="D240" s="2" t="str">
        <f>"気仙沼市松崎柳沢２１６－５"</f>
        <v>気仙沼市松崎柳沢２１６－５</v>
      </c>
      <c r="E240" s="2" t="str">
        <f>"0226-22-6685  "</f>
        <v xml:space="preserve">0226-22-6685  </v>
      </c>
      <c r="F240" s="2" t="s">
        <v>6</v>
      </c>
      <c r="G240" s="2" t="s">
        <v>188</v>
      </c>
    </row>
    <row r="241" spans="1:7" ht="37.5" x14ac:dyDescent="0.4">
      <c r="A241" s="2">
        <v>240</v>
      </c>
      <c r="B241" s="2" t="s">
        <v>1224</v>
      </c>
      <c r="C241" s="2" t="str">
        <f>"988-0056"</f>
        <v>988-0056</v>
      </c>
      <c r="D241" s="2" t="str">
        <f>"気仙沼市上田中１丁目８－６"</f>
        <v>気仙沼市上田中１丁目８－６</v>
      </c>
      <c r="E241" s="2" t="str">
        <f>"0226-25-7797  "</f>
        <v xml:space="preserve">0226-25-7797  </v>
      </c>
      <c r="F241" s="2" t="s">
        <v>9</v>
      </c>
      <c r="G241" s="2" t="s">
        <v>1063</v>
      </c>
    </row>
    <row r="242" spans="1:7" x14ac:dyDescent="0.4">
      <c r="A242" s="2">
        <v>241</v>
      </c>
      <c r="B242" s="2" t="s">
        <v>936</v>
      </c>
      <c r="C242" s="2" t="str">
        <f>"988-0071"</f>
        <v>988-0071</v>
      </c>
      <c r="D242" s="2" t="str">
        <f>"気仙沼市新町４－６"</f>
        <v>気仙沼市新町４－６</v>
      </c>
      <c r="E242" s="2" t="str">
        <f>"0226-24-1155  "</f>
        <v xml:space="preserve">0226-24-1155  </v>
      </c>
      <c r="F242" s="2" t="s">
        <v>10</v>
      </c>
      <c r="G242" s="2" t="s">
        <v>902</v>
      </c>
    </row>
    <row r="243" spans="1:7" ht="37.5" x14ac:dyDescent="0.4">
      <c r="A243" s="2">
        <v>242</v>
      </c>
      <c r="B243" s="2" t="s">
        <v>1207</v>
      </c>
      <c r="C243" s="2" t="str">
        <f>"988-0101"</f>
        <v>988-0101</v>
      </c>
      <c r="D243" s="2" t="str">
        <f>"気仙沼市赤岩舘下６－１外"</f>
        <v>気仙沼市赤岩舘下６－１外</v>
      </c>
      <c r="E243" s="2" t="str">
        <f>"0226-21-5256  "</f>
        <v xml:space="preserve">0226-21-5256  </v>
      </c>
      <c r="F243" s="2" t="s">
        <v>9</v>
      </c>
      <c r="G243" s="2" t="s">
        <v>1063</v>
      </c>
    </row>
    <row r="244" spans="1:7" ht="37.5" x14ac:dyDescent="0.4">
      <c r="A244" s="2">
        <v>243</v>
      </c>
      <c r="B244" s="2" t="s">
        <v>1787</v>
      </c>
      <c r="C244" s="2" t="str">
        <f>"988-0103"</f>
        <v>988-0103</v>
      </c>
      <c r="D244" s="2" t="str">
        <f>"気仙沼市赤岩港３２１－１"</f>
        <v>気仙沼市赤岩港３２１－１</v>
      </c>
      <c r="E244" s="2" t="str">
        <f>"0226-25-8323  "</f>
        <v xml:space="preserve">0226-25-8323  </v>
      </c>
      <c r="F244" s="2" t="s">
        <v>11</v>
      </c>
      <c r="G244" s="2" t="s">
        <v>1151</v>
      </c>
    </row>
    <row r="245" spans="1:7" x14ac:dyDescent="0.4">
      <c r="A245" s="2">
        <v>244</v>
      </c>
      <c r="B245" s="2" t="s">
        <v>1217</v>
      </c>
      <c r="C245" s="2" t="str">
        <f>"988-0181"</f>
        <v>988-0181</v>
      </c>
      <c r="D245" s="2" t="str">
        <f>"気仙沼市赤岩杉ノ沢12-1"</f>
        <v>気仙沼市赤岩杉ノ沢12-1</v>
      </c>
      <c r="E245" s="2" t="str">
        <f>"0226-25-4580  "</f>
        <v xml:space="preserve">0226-25-4580  </v>
      </c>
      <c r="F245" s="2" t="s">
        <v>9</v>
      </c>
      <c r="G245" s="2" t="s">
        <v>1063</v>
      </c>
    </row>
    <row r="246" spans="1:7" ht="112.5" x14ac:dyDescent="0.4">
      <c r="A246" s="2">
        <v>245</v>
      </c>
      <c r="B246" s="2" t="s">
        <v>196</v>
      </c>
      <c r="C246" s="2" t="str">
        <f>"988-0181"</f>
        <v>988-0181</v>
      </c>
      <c r="D246" s="2" t="str">
        <f>"気仙沼市赤岩杉ノ沢８－２"</f>
        <v>気仙沼市赤岩杉ノ沢８－２</v>
      </c>
      <c r="E246" s="2" t="str">
        <f>"0226-22-7100  "</f>
        <v xml:space="preserve">0226-22-7100  </v>
      </c>
      <c r="F246" s="2" t="s">
        <v>6</v>
      </c>
      <c r="G246" s="2" t="s">
        <v>207</v>
      </c>
    </row>
    <row r="247" spans="1:7" ht="37.5" x14ac:dyDescent="0.4">
      <c r="A247" s="2">
        <v>246</v>
      </c>
      <c r="B247" s="2" t="s">
        <v>1215</v>
      </c>
      <c r="C247" s="2" t="str">
        <f>"988-0181"</f>
        <v>988-0181</v>
      </c>
      <c r="D247" s="2" t="s">
        <v>1216</v>
      </c>
      <c r="E247" s="2" t="str">
        <f>"0226-25-1517  "</f>
        <v xml:space="preserve">0226-25-1517  </v>
      </c>
      <c r="F247" s="2" t="s">
        <v>9</v>
      </c>
      <c r="G247" s="2" t="s">
        <v>1063</v>
      </c>
    </row>
    <row r="248" spans="1:7" x14ac:dyDescent="0.4">
      <c r="A248" s="2">
        <v>247</v>
      </c>
      <c r="B248" s="2" t="s">
        <v>1218</v>
      </c>
      <c r="C248" s="2" t="str">
        <f>"988-0184"</f>
        <v>988-0184</v>
      </c>
      <c r="D248" s="2" t="str">
        <f>"気仙沼市赤岩平貝84-1"</f>
        <v>気仙沼市赤岩平貝84-1</v>
      </c>
      <c r="E248" s="2" t="str">
        <f>"0226-25-1820  "</f>
        <v xml:space="preserve">0226-25-1820  </v>
      </c>
      <c r="F248" s="2" t="s">
        <v>9</v>
      </c>
      <c r="G248" s="2" t="s">
        <v>1063</v>
      </c>
    </row>
    <row r="249" spans="1:7" ht="37.5" x14ac:dyDescent="0.4">
      <c r="A249" s="2">
        <v>248</v>
      </c>
      <c r="B249" s="2" t="s">
        <v>205</v>
      </c>
      <c r="C249" s="2" t="str">
        <f>"988-0234"</f>
        <v>988-0234</v>
      </c>
      <c r="D249" s="2" t="str">
        <f>"気仙沼市長磯原ノ沢５０－２"</f>
        <v>気仙沼市長磯原ノ沢５０－２</v>
      </c>
      <c r="E249" s="2" t="str">
        <f>"0226-27-2315  "</f>
        <v xml:space="preserve">0226-27-2315  </v>
      </c>
      <c r="F249" s="2" t="s">
        <v>6</v>
      </c>
      <c r="G249" s="2" t="s">
        <v>206</v>
      </c>
    </row>
    <row r="250" spans="1:7" ht="37.5" x14ac:dyDescent="0.4">
      <c r="A250" s="2">
        <v>249</v>
      </c>
      <c r="B250" s="2" t="s">
        <v>1198</v>
      </c>
      <c r="C250" s="2" t="str">
        <f>"988-0235"</f>
        <v>988-0235</v>
      </c>
      <c r="D250" s="2" t="s">
        <v>1199</v>
      </c>
      <c r="E250" s="2" t="str">
        <f>"0226-27-5939  "</f>
        <v xml:space="preserve">0226-27-5939  </v>
      </c>
      <c r="F250" s="2" t="s">
        <v>9</v>
      </c>
      <c r="G250" s="2" t="s">
        <v>1063</v>
      </c>
    </row>
    <row r="251" spans="1:7" x14ac:dyDescent="0.4">
      <c r="A251" s="2">
        <v>250</v>
      </c>
      <c r="B251" s="2" t="s">
        <v>208</v>
      </c>
      <c r="C251" s="2" t="str">
        <f>"988-0045"</f>
        <v>988-0045</v>
      </c>
      <c r="D251" s="2" t="str">
        <f>"気仙沼市田谷１１－１１"</f>
        <v>気仙沼市田谷１１－１１</v>
      </c>
      <c r="E251" s="2" t="str">
        <f>"0226-29-6482  "</f>
        <v xml:space="preserve">0226-29-6482  </v>
      </c>
      <c r="F251" s="2" t="s">
        <v>6</v>
      </c>
      <c r="G251" s="2" t="s">
        <v>118</v>
      </c>
    </row>
    <row r="252" spans="1:7" x14ac:dyDescent="0.4">
      <c r="A252" s="2">
        <v>251</v>
      </c>
      <c r="B252" s="2" t="s">
        <v>1219</v>
      </c>
      <c r="C252" s="2" t="str">
        <f>"988-0045"</f>
        <v>988-0045</v>
      </c>
      <c r="D252" s="2" t="s">
        <v>1220</v>
      </c>
      <c r="E252" s="2" t="str">
        <f>"0226-28-9061  "</f>
        <v xml:space="preserve">0226-28-9061  </v>
      </c>
      <c r="F252" s="2" t="s">
        <v>9</v>
      </c>
      <c r="G252" s="2" t="s">
        <v>1129</v>
      </c>
    </row>
    <row r="253" spans="1:7" ht="37.5" x14ac:dyDescent="0.4">
      <c r="A253" s="2">
        <v>252</v>
      </c>
      <c r="B253" s="2" t="s">
        <v>942</v>
      </c>
      <c r="C253" s="2" t="str">
        <f>"988-0053"</f>
        <v>988-0053</v>
      </c>
      <c r="D253" s="2" t="s">
        <v>943</v>
      </c>
      <c r="E253" s="2" t="str">
        <f>"0226-22-1167  "</f>
        <v xml:space="preserve">0226-22-1167  </v>
      </c>
      <c r="F253" s="2" t="s">
        <v>6</v>
      </c>
      <c r="G253" s="2" t="s">
        <v>10</v>
      </c>
    </row>
    <row r="254" spans="1:7" ht="37.5" x14ac:dyDescent="0.4">
      <c r="A254" s="2">
        <v>253</v>
      </c>
      <c r="B254" s="2" t="s">
        <v>192</v>
      </c>
      <c r="C254" s="2" t="str">
        <f>"988-0053"</f>
        <v>988-0053</v>
      </c>
      <c r="D254" s="2" t="s">
        <v>193</v>
      </c>
      <c r="E254" s="2" t="str">
        <f>"0226-22-3210  "</f>
        <v xml:space="preserve">0226-22-3210  </v>
      </c>
      <c r="F254" s="2" t="s">
        <v>6</v>
      </c>
      <c r="G254" s="2" t="s">
        <v>194</v>
      </c>
    </row>
    <row r="255" spans="1:7" ht="37.5" x14ac:dyDescent="0.4">
      <c r="A255" s="2">
        <v>254</v>
      </c>
      <c r="B255" s="2" t="s">
        <v>1222</v>
      </c>
      <c r="C255" s="2" t="str">
        <f>"988-0053"</f>
        <v>988-0053</v>
      </c>
      <c r="D255" s="2" t="str">
        <f>"気仙沼市田中前２－８－７－１"</f>
        <v>気仙沼市田中前２－８－７－１</v>
      </c>
      <c r="E255" s="2" t="str">
        <f>"0226-25-9931  "</f>
        <v xml:space="preserve">0226-25-9931  </v>
      </c>
      <c r="F255" s="2" t="s">
        <v>9</v>
      </c>
      <c r="G255" s="2" t="s">
        <v>1129</v>
      </c>
    </row>
    <row r="256" spans="1:7" ht="37.5" x14ac:dyDescent="0.4">
      <c r="A256" s="2">
        <v>255</v>
      </c>
      <c r="B256" s="2" t="s">
        <v>1191</v>
      </c>
      <c r="C256" s="2" t="str">
        <f>"988-0053"</f>
        <v>988-0053</v>
      </c>
      <c r="D256" s="2" t="s">
        <v>1192</v>
      </c>
      <c r="E256" s="2" t="str">
        <f>"0226-24-3610  "</f>
        <v xml:space="preserve">0226-24-3610  </v>
      </c>
      <c r="F256" s="2" t="s">
        <v>9</v>
      </c>
      <c r="G256" s="2" t="s">
        <v>1063</v>
      </c>
    </row>
    <row r="257" spans="1:7" ht="37.5" x14ac:dyDescent="0.4">
      <c r="A257" s="2">
        <v>256</v>
      </c>
      <c r="B257" s="2" t="s">
        <v>1193</v>
      </c>
      <c r="C257" s="2" t="str">
        <f>"988-0053"</f>
        <v>988-0053</v>
      </c>
      <c r="D257" s="2" t="s">
        <v>1194</v>
      </c>
      <c r="E257" s="2" t="str">
        <f>"0226-23-3110  "</f>
        <v xml:space="preserve">0226-23-3110  </v>
      </c>
      <c r="F257" s="2" t="s">
        <v>9</v>
      </c>
      <c r="G257" s="2" t="s">
        <v>1063</v>
      </c>
    </row>
    <row r="258" spans="1:7" ht="37.5" x14ac:dyDescent="0.4">
      <c r="A258" s="2">
        <v>257</v>
      </c>
      <c r="B258" s="2" t="s">
        <v>190</v>
      </c>
      <c r="C258" s="2" t="str">
        <f>"988-0053"</f>
        <v>988-0053</v>
      </c>
      <c r="D258" s="2" t="str">
        <f>"気仙沼市田中前四丁目４－７"</f>
        <v>気仙沼市田中前四丁目４－７</v>
      </c>
      <c r="E258" s="2" t="str">
        <f>"0226-23-3990  "</f>
        <v xml:space="preserve">0226-23-3990  </v>
      </c>
      <c r="F258" s="2" t="s">
        <v>6</v>
      </c>
      <c r="G258" s="2" t="s">
        <v>191</v>
      </c>
    </row>
    <row r="259" spans="1:7" ht="37.5" x14ac:dyDescent="0.4">
      <c r="A259" s="2">
        <v>258</v>
      </c>
      <c r="B259" s="2" t="s">
        <v>1214</v>
      </c>
      <c r="C259" s="2" t="str">
        <f>"988-0053"</f>
        <v>988-0053</v>
      </c>
      <c r="D259" s="2" t="str">
        <f>"気仙沼市田中前二丁目1-11"</f>
        <v>気仙沼市田中前二丁目1-11</v>
      </c>
      <c r="E259" s="2" t="str">
        <f>"0226-25-1381  "</f>
        <v xml:space="preserve">0226-25-1381  </v>
      </c>
      <c r="F259" s="2" t="s">
        <v>9</v>
      </c>
      <c r="G259" s="2" t="s">
        <v>1063</v>
      </c>
    </row>
    <row r="260" spans="1:7" ht="37.5" x14ac:dyDescent="0.4">
      <c r="A260" s="2">
        <v>259</v>
      </c>
      <c r="B260" s="2" t="s">
        <v>200</v>
      </c>
      <c r="C260" s="2" t="str">
        <f>"988-0053"</f>
        <v>988-0053</v>
      </c>
      <c r="D260" s="2" t="s">
        <v>201</v>
      </c>
      <c r="E260" s="2" t="str">
        <f>"0226-29-6711  "</f>
        <v xml:space="preserve">0226-29-6711  </v>
      </c>
      <c r="F260" s="2" t="s">
        <v>6</v>
      </c>
      <c r="G260" s="2" t="s">
        <v>18</v>
      </c>
    </row>
    <row r="261" spans="1:7" ht="37.5" x14ac:dyDescent="0.4">
      <c r="A261" s="2">
        <v>260</v>
      </c>
      <c r="B261" s="2" t="s">
        <v>1200</v>
      </c>
      <c r="C261" s="2" t="str">
        <f>"988-0053"</f>
        <v>988-0053</v>
      </c>
      <c r="D261" s="2" t="s">
        <v>1201</v>
      </c>
      <c r="E261" s="2" t="str">
        <f>"0226-21-2227  "</f>
        <v xml:space="preserve">0226-21-2227  </v>
      </c>
      <c r="F261" s="2" t="s">
        <v>9</v>
      </c>
      <c r="G261" s="2" t="s">
        <v>1063</v>
      </c>
    </row>
    <row r="262" spans="1:7" ht="37.5" x14ac:dyDescent="0.4">
      <c r="A262" s="2">
        <v>261</v>
      </c>
      <c r="B262" s="2" t="s">
        <v>937</v>
      </c>
      <c r="C262" s="2" t="str">
        <f>"988-0053"</f>
        <v>988-0053</v>
      </c>
      <c r="D262" s="2" t="str">
        <f>"気仙沼市田中前二丁目６－８"</f>
        <v>気仙沼市田中前二丁目６－８</v>
      </c>
      <c r="E262" s="2" t="str">
        <f>"0226-24-2822  "</f>
        <v xml:space="preserve">0226-24-2822  </v>
      </c>
      <c r="F262" s="2" t="s">
        <v>10</v>
      </c>
      <c r="G262" s="2" t="s">
        <v>933</v>
      </c>
    </row>
    <row r="263" spans="1:7" ht="37.5" x14ac:dyDescent="0.4">
      <c r="A263" s="2">
        <v>262</v>
      </c>
      <c r="B263" s="2" t="s">
        <v>197</v>
      </c>
      <c r="C263" s="2" t="str">
        <f>"988-0534"</f>
        <v>988-0534</v>
      </c>
      <c r="D263" s="2" t="s">
        <v>198</v>
      </c>
      <c r="E263" s="2" t="str">
        <f>"0226-32-3128  "</f>
        <v xml:space="preserve">0226-32-3128  </v>
      </c>
      <c r="F263" s="2" t="s">
        <v>6</v>
      </c>
      <c r="G263" s="2" t="s">
        <v>199</v>
      </c>
    </row>
    <row r="264" spans="1:7" ht="37.5" x14ac:dyDescent="0.4">
      <c r="A264" s="2">
        <v>263</v>
      </c>
      <c r="B264" s="2" t="s">
        <v>195</v>
      </c>
      <c r="C264" s="2" t="str">
        <f>"988-0066"</f>
        <v>988-0066</v>
      </c>
      <c r="D264" s="2" t="str">
        <f>"気仙沼市東新城　３－１０－８"</f>
        <v>気仙沼市東新城　３－１０－８</v>
      </c>
      <c r="E264" s="2" t="str">
        <f>"0226-23-5855  "</f>
        <v xml:space="preserve">0226-23-5855  </v>
      </c>
      <c r="F264" s="2" t="s">
        <v>6</v>
      </c>
      <c r="G264" s="2" t="s">
        <v>48</v>
      </c>
    </row>
    <row r="265" spans="1:7" ht="37.5" x14ac:dyDescent="0.4">
      <c r="A265" s="2">
        <v>264</v>
      </c>
      <c r="B265" s="2" t="s">
        <v>1188</v>
      </c>
      <c r="C265" s="2" t="str">
        <f>"988-0066"</f>
        <v>988-0066</v>
      </c>
      <c r="D265" s="2" t="s">
        <v>1189</v>
      </c>
      <c r="E265" s="2" t="str">
        <f>"0226-21-1026  "</f>
        <v xml:space="preserve">0226-21-1026  </v>
      </c>
      <c r="F265" s="2" t="s">
        <v>9</v>
      </c>
      <c r="G265" s="2" t="s">
        <v>1063</v>
      </c>
    </row>
    <row r="266" spans="1:7" ht="37.5" x14ac:dyDescent="0.4">
      <c r="A266" s="2">
        <v>265</v>
      </c>
      <c r="B266" s="2" t="s">
        <v>1197</v>
      </c>
      <c r="C266" s="2" t="str">
        <f>"988-0066"</f>
        <v>988-0066</v>
      </c>
      <c r="D266" s="2" t="str">
        <f>"気仙沼市東新城１－６－１４"</f>
        <v>気仙沼市東新城１－６－１４</v>
      </c>
      <c r="E266" s="2" t="str">
        <f>"0226-25-7956  "</f>
        <v xml:space="preserve">0226-25-7956  </v>
      </c>
      <c r="F266" s="2" t="s">
        <v>9</v>
      </c>
      <c r="G266" s="2" t="s">
        <v>1063</v>
      </c>
    </row>
    <row r="267" spans="1:7" ht="37.5" x14ac:dyDescent="0.4">
      <c r="A267" s="2">
        <v>266</v>
      </c>
      <c r="B267" s="2" t="s">
        <v>1209</v>
      </c>
      <c r="C267" s="2" t="str">
        <f>"988-0066"</f>
        <v>988-0066</v>
      </c>
      <c r="D267" s="2" t="str">
        <f>"気仙沼市東新城２丁目６－５"</f>
        <v>気仙沼市東新城２丁目６－５</v>
      </c>
      <c r="E267" s="2" t="str">
        <f>"0226-21-2151  "</f>
        <v xml:space="preserve">0226-21-2151  </v>
      </c>
      <c r="F267" s="2" t="s">
        <v>9</v>
      </c>
      <c r="G267" s="2" t="s">
        <v>1063</v>
      </c>
    </row>
    <row r="268" spans="1:7" ht="37.5" x14ac:dyDescent="0.4">
      <c r="A268" s="2">
        <v>267</v>
      </c>
      <c r="B268" s="2" t="s">
        <v>202</v>
      </c>
      <c r="C268" s="2" t="str">
        <f>"988-0066"</f>
        <v>988-0066</v>
      </c>
      <c r="D268" s="2" t="s">
        <v>203</v>
      </c>
      <c r="E268" s="2" t="str">
        <f>"0226-22-6838  "</f>
        <v xml:space="preserve">0226-22-6838  </v>
      </c>
      <c r="F268" s="2" t="s">
        <v>6</v>
      </c>
      <c r="G268" s="2" t="s">
        <v>204</v>
      </c>
    </row>
    <row r="269" spans="1:7" ht="37.5" x14ac:dyDescent="0.4">
      <c r="A269" s="2">
        <v>268</v>
      </c>
      <c r="B269" s="2" t="s">
        <v>1212</v>
      </c>
      <c r="C269" s="2" t="str">
        <f>"988-0066"</f>
        <v>988-0066</v>
      </c>
      <c r="D269" s="2" t="str">
        <f>"気仙沼市東新城２丁目７－６"</f>
        <v>気仙沼市東新城２丁目７－６</v>
      </c>
      <c r="E269" s="2" t="str">
        <f>"0226-25-8941  "</f>
        <v xml:space="preserve">0226-25-8941  </v>
      </c>
      <c r="F269" s="2" t="s">
        <v>9</v>
      </c>
      <c r="G269" s="2" t="s">
        <v>1063</v>
      </c>
    </row>
    <row r="270" spans="1:7" ht="37.5" x14ac:dyDescent="0.4">
      <c r="A270" s="2">
        <v>269</v>
      </c>
      <c r="B270" s="2" t="s">
        <v>1208</v>
      </c>
      <c r="C270" s="2" t="str">
        <f>"988-0811"</f>
        <v>988-0811</v>
      </c>
      <c r="D270" s="2" t="str">
        <f>"気仙沼市東八幡前２７０－１"</f>
        <v>気仙沼市東八幡前２７０－１</v>
      </c>
      <c r="E270" s="2" t="str">
        <f>"0226-24-2252  "</f>
        <v xml:space="preserve">0226-24-2252  </v>
      </c>
      <c r="F270" s="2" t="s">
        <v>9</v>
      </c>
      <c r="G270" s="2" t="s">
        <v>1063</v>
      </c>
    </row>
    <row r="271" spans="1:7" ht="37.5" x14ac:dyDescent="0.4">
      <c r="A271" s="2">
        <v>270</v>
      </c>
      <c r="B271" s="2" t="s">
        <v>1221</v>
      </c>
      <c r="C271" s="2" t="str">
        <f>"988-0025"</f>
        <v>988-0025</v>
      </c>
      <c r="D271" s="2" t="str">
        <f>"気仙沼市内の脇一丁目6番15－2号"</f>
        <v>気仙沼市内の脇一丁目6番15－2号</v>
      </c>
      <c r="E271" s="2" t="str">
        <f>"0226-28-9233  "</f>
        <v xml:space="preserve">0226-28-9233  </v>
      </c>
      <c r="F271" s="2" t="s">
        <v>9</v>
      </c>
      <c r="G271" s="2" t="s">
        <v>1129</v>
      </c>
    </row>
    <row r="272" spans="1:7" x14ac:dyDescent="0.4">
      <c r="A272" s="2">
        <v>271</v>
      </c>
      <c r="B272" s="2" t="s">
        <v>940</v>
      </c>
      <c r="C272" s="2" t="str">
        <f>"988-0043"</f>
        <v>988-0043</v>
      </c>
      <c r="D272" s="2" t="str">
        <f>"気仙沼市南郷１－３"</f>
        <v>気仙沼市南郷１－３</v>
      </c>
      <c r="E272" s="2" t="str">
        <f>"0226-22-9955  "</f>
        <v xml:space="preserve">0226-22-9955  </v>
      </c>
      <c r="F272" s="2" t="s">
        <v>6</v>
      </c>
      <c r="G272" s="2" t="s">
        <v>941</v>
      </c>
    </row>
    <row r="273" spans="1:7" x14ac:dyDescent="0.4">
      <c r="A273" s="2">
        <v>272</v>
      </c>
      <c r="B273" s="2" t="s">
        <v>1186</v>
      </c>
      <c r="C273" s="2" t="str">
        <f>"988-0043"</f>
        <v>988-0043</v>
      </c>
      <c r="D273" s="2" t="s">
        <v>1187</v>
      </c>
      <c r="E273" s="2" t="str">
        <f>"0226-23-7753  "</f>
        <v xml:space="preserve">0226-23-7753  </v>
      </c>
      <c r="F273" s="2" t="s">
        <v>9</v>
      </c>
      <c r="G273" s="2" t="s">
        <v>1063</v>
      </c>
    </row>
    <row r="274" spans="1:7" x14ac:dyDescent="0.4">
      <c r="A274" s="2">
        <v>273</v>
      </c>
      <c r="B274" s="2" t="s">
        <v>938</v>
      </c>
      <c r="C274" s="2" t="str">
        <f>"988-0043"</f>
        <v>988-0043</v>
      </c>
      <c r="D274" s="2" t="s">
        <v>939</v>
      </c>
      <c r="E274" s="2" t="str">
        <f>"0226-24-1818  "</f>
        <v xml:space="preserve">0226-24-1818  </v>
      </c>
      <c r="F274" s="2" t="s">
        <v>10</v>
      </c>
      <c r="G274" s="2" t="s">
        <v>10</v>
      </c>
    </row>
    <row r="275" spans="1:7" x14ac:dyDescent="0.4">
      <c r="A275" s="2">
        <v>274</v>
      </c>
      <c r="B275" s="2" t="s">
        <v>189</v>
      </c>
      <c r="C275" s="2" t="str">
        <f>"988-0043"</f>
        <v>988-0043</v>
      </c>
      <c r="D275" s="2" t="str">
        <f>"気仙沼市南郷９－７"</f>
        <v>気仙沼市南郷９－７</v>
      </c>
      <c r="E275" s="2" t="str">
        <f>"0226-23-3285  "</f>
        <v xml:space="preserve">0226-23-3285  </v>
      </c>
      <c r="F275" s="2" t="s">
        <v>6</v>
      </c>
      <c r="G275" s="2" t="s">
        <v>48</v>
      </c>
    </row>
    <row r="276" spans="1:7" ht="37.5" x14ac:dyDescent="0.4">
      <c r="A276" s="2">
        <v>275</v>
      </c>
      <c r="B276" s="2" t="s">
        <v>1196</v>
      </c>
      <c r="C276" s="2" t="str">
        <f>"988-0084"</f>
        <v>988-0084</v>
      </c>
      <c r="D276" s="2" t="str">
        <f>"気仙沼市八日町１－４－１"</f>
        <v>気仙沼市八日町１－４－１</v>
      </c>
      <c r="E276" s="2" t="str">
        <f>"0226-21-1510  "</f>
        <v xml:space="preserve">0226-21-1510  </v>
      </c>
      <c r="F276" s="2" t="s">
        <v>9</v>
      </c>
      <c r="G276" s="2" t="s">
        <v>1063</v>
      </c>
    </row>
    <row r="277" spans="1:7" ht="37.5" x14ac:dyDescent="0.4">
      <c r="A277" s="2">
        <v>276</v>
      </c>
      <c r="B277" s="2" t="s">
        <v>1202</v>
      </c>
      <c r="C277" s="2" t="str">
        <f>"988-0308"</f>
        <v>988-0308</v>
      </c>
      <c r="D277" s="2" t="s">
        <v>1203</v>
      </c>
      <c r="E277" s="2" t="str">
        <f>"0226-42-2523  "</f>
        <v xml:space="preserve">0226-42-2523  </v>
      </c>
      <c r="F277" s="2" t="s">
        <v>9</v>
      </c>
      <c r="G277" s="2" t="s">
        <v>1063</v>
      </c>
    </row>
    <row r="278" spans="1:7" ht="37.5" x14ac:dyDescent="0.4">
      <c r="A278" s="2">
        <v>277</v>
      </c>
      <c r="B278" s="2" t="s">
        <v>1204</v>
      </c>
      <c r="C278" s="2" t="str">
        <f>"988-0381"</f>
        <v>988-0381</v>
      </c>
      <c r="D278" s="2" t="str">
        <f>"気仙沼市本吉町津谷新明戸３２６－１"</f>
        <v>気仙沼市本吉町津谷新明戸３２６－１</v>
      </c>
      <c r="E278" s="2" t="str">
        <f>"0226-42-1088  "</f>
        <v xml:space="preserve">0226-42-1088  </v>
      </c>
      <c r="F278" s="2" t="s">
        <v>9</v>
      </c>
      <c r="G278" s="2" t="s">
        <v>1063</v>
      </c>
    </row>
    <row r="279" spans="1:7" ht="37.5" x14ac:dyDescent="0.4">
      <c r="A279" s="2">
        <v>278</v>
      </c>
      <c r="B279" s="2" t="s">
        <v>1213</v>
      </c>
      <c r="C279" s="2" t="str">
        <f>"988-0305"</f>
        <v>988-0305</v>
      </c>
      <c r="D279" s="2" t="str">
        <f>"気仙沼市本吉町津谷長根１０７－１"</f>
        <v>気仙沼市本吉町津谷長根１０７－１</v>
      </c>
      <c r="E279" s="2" t="str">
        <f>"0226-28-9223  "</f>
        <v xml:space="preserve">0226-28-9223  </v>
      </c>
      <c r="F279" s="2" t="s">
        <v>9</v>
      </c>
      <c r="G279" s="2" t="s">
        <v>1063</v>
      </c>
    </row>
    <row r="280" spans="1:7" ht="37.5" x14ac:dyDescent="0.4">
      <c r="A280" s="2">
        <v>279</v>
      </c>
      <c r="B280" s="2" t="s">
        <v>1205</v>
      </c>
      <c r="C280" s="2" t="str">
        <f>"988-0382"</f>
        <v>988-0382</v>
      </c>
      <c r="D280" s="2" t="str">
        <f>"気仙沼市本吉町津谷明戸２１３－４"</f>
        <v>気仙沼市本吉町津谷明戸２１３－４</v>
      </c>
      <c r="E280" s="2" t="str">
        <f>"0226-31-1511  "</f>
        <v xml:space="preserve">0226-31-1511  </v>
      </c>
      <c r="F280" s="2" t="s">
        <v>9</v>
      </c>
      <c r="G280" s="2" t="s">
        <v>1063</v>
      </c>
    </row>
    <row r="281" spans="1:7" ht="37.5" x14ac:dyDescent="0.4">
      <c r="A281" s="2">
        <v>280</v>
      </c>
      <c r="B281" s="2" t="s">
        <v>211</v>
      </c>
      <c r="C281" s="2" t="str">
        <f>"988-0382"</f>
        <v>988-0382</v>
      </c>
      <c r="D281" s="2" t="s">
        <v>212</v>
      </c>
      <c r="E281" s="2" t="str">
        <f>"0226-42-2621  "</f>
        <v xml:space="preserve">0226-42-2621  </v>
      </c>
      <c r="F281" s="2" t="s">
        <v>6</v>
      </c>
      <c r="G281" s="2" t="s">
        <v>213</v>
      </c>
    </row>
    <row r="282" spans="1:7" ht="37.5" x14ac:dyDescent="0.4">
      <c r="A282" s="2">
        <v>281</v>
      </c>
      <c r="B282" s="2" t="s">
        <v>1687</v>
      </c>
      <c r="C282" s="2" t="str">
        <f>"985-0824"</f>
        <v>985-0824</v>
      </c>
      <c r="D282" s="2" t="str">
        <f>"宮城郡七ヶ浜町境山一丁目１３－３０"</f>
        <v>宮城郡七ヶ浜町境山一丁目１３－３０</v>
      </c>
      <c r="E282" s="2" t="str">
        <f>"022-366-7941  "</f>
        <v xml:space="preserve">022-366-7941  </v>
      </c>
      <c r="F282" s="2" t="s">
        <v>9</v>
      </c>
      <c r="G282" s="2" t="s">
        <v>1129</v>
      </c>
    </row>
    <row r="283" spans="1:7" ht="37.5" x14ac:dyDescent="0.4">
      <c r="A283" s="2">
        <v>282</v>
      </c>
      <c r="B283" s="2" t="s">
        <v>1689</v>
      </c>
      <c r="C283" s="2" t="str">
        <f>"985-0822"</f>
        <v>985-0822</v>
      </c>
      <c r="D283" s="2" t="str">
        <f>"宮城郡七ケ浜町汐見台南１－２－２"</f>
        <v>宮城郡七ケ浜町汐見台南１－２－２</v>
      </c>
      <c r="E283" s="2" t="str">
        <f>"022-357-5130  "</f>
        <v xml:space="preserve">022-357-5130  </v>
      </c>
      <c r="F283" s="2" t="s">
        <v>9</v>
      </c>
      <c r="G283" s="2" t="s">
        <v>1063</v>
      </c>
    </row>
    <row r="284" spans="1:7" ht="37.5" x14ac:dyDescent="0.4">
      <c r="A284" s="2">
        <v>283</v>
      </c>
      <c r="B284" s="2" t="s">
        <v>813</v>
      </c>
      <c r="C284" s="2" t="str">
        <f>"985-0812"</f>
        <v>985-0812</v>
      </c>
      <c r="D284" s="2" t="s">
        <v>814</v>
      </c>
      <c r="E284" s="2" t="str">
        <f>"022-357-7531  "</f>
        <v xml:space="preserve">022-357-7531  </v>
      </c>
      <c r="F284" s="2" t="s">
        <v>6</v>
      </c>
      <c r="G284" s="2" t="s">
        <v>815</v>
      </c>
    </row>
    <row r="285" spans="1:7" ht="37.5" x14ac:dyDescent="0.4">
      <c r="A285" s="2">
        <v>284</v>
      </c>
      <c r="B285" s="2" t="s">
        <v>1038</v>
      </c>
      <c r="C285" s="2" t="str">
        <f>"985-0811"</f>
        <v>985-0811</v>
      </c>
      <c r="D285" s="2" t="str">
        <f>"宮城郡七ケ浜町菖蒲田浜字林合５５－１"</f>
        <v>宮城郡七ケ浜町菖蒲田浜字林合５５－１</v>
      </c>
      <c r="E285" s="2" t="str">
        <f>"022-357-5603  "</f>
        <v xml:space="preserve">022-357-5603  </v>
      </c>
      <c r="F285" s="2" t="s">
        <v>6</v>
      </c>
      <c r="G285" s="2" t="s">
        <v>966</v>
      </c>
    </row>
    <row r="286" spans="1:7" ht="37.5" x14ac:dyDescent="0.4">
      <c r="A286" s="2">
        <v>285</v>
      </c>
      <c r="B286" s="2" t="s">
        <v>1707</v>
      </c>
      <c r="C286" s="2" t="str">
        <f>"985-0813"</f>
        <v>985-0813</v>
      </c>
      <c r="D286" s="2" t="s">
        <v>1708</v>
      </c>
      <c r="E286" s="2" t="str">
        <f>"022-794-9942  "</f>
        <v xml:space="preserve">022-794-9942  </v>
      </c>
      <c r="F286" s="2" t="s">
        <v>9</v>
      </c>
      <c r="G286" s="2" t="s">
        <v>1063</v>
      </c>
    </row>
    <row r="287" spans="1:7" ht="37.5" x14ac:dyDescent="0.4">
      <c r="A287" s="2">
        <v>286</v>
      </c>
      <c r="B287" s="2" t="s">
        <v>1678</v>
      </c>
      <c r="C287" s="2" t="str">
        <f>"981-0215"</f>
        <v>981-0215</v>
      </c>
      <c r="D287" s="2" t="str">
        <f>"宮城郡松島町高城字元釜家　９－１"</f>
        <v>宮城郡松島町高城字元釜家　９－１</v>
      </c>
      <c r="E287" s="2" t="str">
        <f>"022-354-3369  "</f>
        <v xml:space="preserve">022-354-3369  </v>
      </c>
      <c r="F287" s="2" t="s">
        <v>9</v>
      </c>
      <c r="G287" s="2" t="s">
        <v>1063</v>
      </c>
    </row>
    <row r="288" spans="1:7" ht="37.5" x14ac:dyDescent="0.4">
      <c r="A288" s="2">
        <v>287</v>
      </c>
      <c r="B288" s="2" t="s">
        <v>1040</v>
      </c>
      <c r="C288" s="2" t="str">
        <f>"981-0215"</f>
        <v>981-0215</v>
      </c>
      <c r="D288" s="2" t="str">
        <f>"宮城郡松島町高城字町１５１－４"</f>
        <v>宮城郡松島町高城字町１５１－４</v>
      </c>
      <c r="E288" s="2" t="str">
        <f>"022-353-9980  "</f>
        <v xml:space="preserve">022-353-9980  </v>
      </c>
      <c r="F288" s="2" t="s">
        <v>6</v>
      </c>
      <c r="G288" s="2" t="s">
        <v>933</v>
      </c>
    </row>
    <row r="289" spans="1:7" ht="37.5" x14ac:dyDescent="0.4">
      <c r="A289" s="2">
        <v>288</v>
      </c>
      <c r="B289" s="2" t="s">
        <v>1695</v>
      </c>
      <c r="C289" s="2" t="str">
        <f>"981-0215"</f>
        <v>981-0215</v>
      </c>
      <c r="D289" s="2" t="s">
        <v>1696</v>
      </c>
      <c r="E289" s="2" t="str">
        <f>"022-349-9127  "</f>
        <v xml:space="preserve">022-349-9127  </v>
      </c>
      <c r="F289" s="2" t="s">
        <v>9</v>
      </c>
      <c r="G289" s="2" t="s">
        <v>1063</v>
      </c>
    </row>
    <row r="290" spans="1:7" ht="37.5" x14ac:dyDescent="0.4">
      <c r="A290" s="2">
        <v>289</v>
      </c>
      <c r="B290" s="2" t="s">
        <v>799</v>
      </c>
      <c r="C290" s="2" t="str">
        <f>"981-0215"</f>
        <v>981-0215</v>
      </c>
      <c r="D290" s="2" t="str">
        <f>"宮城郡松島町高城字浜　１－２６"</f>
        <v>宮城郡松島町高城字浜　１－２６</v>
      </c>
      <c r="E290" s="2" t="str">
        <f>"022-354-5811  "</f>
        <v xml:space="preserve">022-354-5811  </v>
      </c>
      <c r="F290" s="2" t="s">
        <v>6</v>
      </c>
      <c r="G290" s="2" t="s">
        <v>800</v>
      </c>
    </row>
    <row r="291" spans="1:7" ht="37.5" x14ac:dyDescent="0.4">
      <c r="A291" s="2">
        <v>290</v>
      </c>
      <c r="B291" s="2" t="s">
        <v>1684</v>
      </c>
      <c r="C291" s="2" t="str">
        <f>"981-0215"</f>
        <v>981-0215</v>
      </c>
      <c r="D291" s="2" t="s">
        <v>1685</v>
      </c>
      <c r="E291" s="2" t="str">
        <f>"022-353-8588  "</f>
        <v xml:space="preserve">022-353-8588  </v>
      </c>
      <c r="F291" s="2" t="s">
        <v>9</v>
      </c>
      <c r="G291" s="2" t="s">
        <v>1063</v>
      </c>
    </row>
    <row r="292" spans="1:7" ht="37.5" x14ac:dyDescent="0.4">
      <c r="A292" s="2">
        <v>291</v>
      </c>
      <c r="B292" s="2" t="s">
        <v>1864</v>
      </c>
      <c r="C292" s="2" t="str">
        <f>"981-0213"</f>
        <v>981-0213</v>
      </c>
      <c r="D292" s="2" t="str">
        <f>"宮城郡松島町松島字普賢堂１－４　まつしまの郷"</f>
        <v>宮城郡松島町松島字普賢堂１－４　まつしまの郷</v>
      </c>
      <c r="E292" s="2" t="str">
        <f>"022-353-3295  "</f>
        <v xml:space="preserve">022-353-3295  </v>
      </c>
      <c r="F292" s="2" t="s">
        <v>11</v>
      </c>
      <c r="G292" s="2" t="s">
        <v>1151</v>
      </c>
    </row>
    <row r="293" spans="1:7" ht="37.5" x14ac:dyDescent="0.4">
      <c r="A293" s="2">
        <v>292</v>
      </c>
      <c r="B293" s="2" t="s">
        <v>797</v>
      </c>
      <c r="C293" s="2" t="str">
        <f>"981-0213"</f>
        <v>981-0213</v>
      </c>
      <c r="D293" s="2" t="str">
        <f>"宮城郡松島町松島字普賢堂２－１１"</f>
        <v>宮城郡松島町松島字普賢堂２－１１</v>
      </c>
      <c r="E293" s="2" t="str">
        <f>"022-354-3702  "</f>
        <v xml:space="preserve">022-354-3702  </v>
      </c>
      <c r="F293" s="2" t="s">
        <v>6</v>
      </c>
      <c r="G293" s="2" t="s">
        <v>798</v>
      </c>
    </row>
    <row r="294" spans="1:7" ht="37.5" x14ac:dyDescent="0.4">
      <c r="A294" s="2">
        <v>293</v>
      </c>
      <c r="B294" s="2" t="s">
        <v>1037</v>
      </c>
      <c r="C294" s="2" t="str">
        <f>"981-0213"</f>
        <v>981-0213</v>
      </c>
      <c r="D294" s="2" t="str">
        <f>"宮城郡松島町松島字普賢堂２－１１"</f>
        <v>宮城郡松島町松島字普賢堂２－１１</v>
      </c>
      <c r="E294" s="2" t="str">
        <f>"022-354-3702  "</f>
        <v xml:space="preserve">022-354-3702  </v>
      </c>
      <c r="F294" s="2" t="s">
        <v>10</v>
      </c>
      <c r="G294" s="2" t="s">
        <v>941</v>
      </c>
    </row>
    <row r="295" spans="1:7" ht="37.5" x14ac:dyDescent="0.4">
      <c r="A295" s="2">
        <v>294</v>
      </c>
      <c r="B295" s="2" t="s">
        <v>1683</v>
      </c>
      <c r="C295" s="2" t="str">
        <f>"981-0213"</f>
        <v>981-0213</v>
      </c>
      <c r="D295" s="2" t="str">
        <f>"宮城郡松島町松島字普賢堂5-5"</f>
        <v>宮城郡松島町松島字普賢堂5-5</v>
      </c>
      <c r="E295" s="2" t="str">
        <f>"022-353-2990  "</f>
        <v xml:space="preserve">022-353-2990  </v>
      </c>
      <c r="F295" s="2" t="s">
        <v>9</v>
      </c>
      <c r="G295" s="2" t="s">
        <v>1063</v>
      </c>
    </row>
    <row r="296" spans="1:7" ht="37.5" x14ac:dyDescent="0.4">
      <c r="A296" s="2">
        <v>295</v>
      </c>
      <c r="B296" s="2" t="s">
        <v>1694</v>
      </c>
      <c r="C296" s="2" t="str">
        <f>"981-0134"</f>
        <v>981-0134</v>
      </c>
      <c r="D296" s="2" t="str">
        <f>"宮城郡利府町しらかし台１丁目１－１４"</f>
        <v>宮城郡利府町しらかし台１丁目１－１４</v>
      </c>
      <c r="E296" s="2" t="str">
        <f>"022-767-7601  "</f>
        <v xml:space="preserve">022-767-7601  </v>
      </c>
      <c r="F296" s="2" t="s">
        <v>9</v>
      </c>
      <c r="G296" s="2" t="s">
        <v>1129</v>
      </c>
    </row>
    <row r="297" spans="1:7" ht="37.5" x14ac:dyDescent="0.4">
      <c r="A297" s="2">
        <v>296</v>
      </c>
      <c r="B297" s="2" t="s">
        <v>1041</v>
      </c>
      <c r="C297" s="2" t="str">
        <f>"981-0111"</f>
        <v>981-0111</v>
      </c>
      <c r="D297" s="2" t="str">
        <f>"宮城郡利府町加瀬字十三塚　１０７－１"</f>
        <v>宮城郡利府町加瀬字十三塚　１０７－１</v>
      </c>
      <c r="E297" s="2" t="str">
        <f>"022-356-5420  "</f>
        <v xml:space="preserve">022-356-5420  </v>
      </c>
      <c r="F297" s="2" t="s">
        <v>6</v>
      </c>
      <c r="G297" s="2" t="s">
        <v>10</v>
      </c>
    </row>
    <row r="298" spans="1:7" ht="37.5" x14ac:dyDescent="0.4">
      <c r="A298" s="2">
        <v>297</v>
      </c>
      <c r="B298" s="2" t="s">
        <v>1692</v>
      </c>
      <c r="C298" s="2" t="str">
        <f>"981-0111"</f>
        <v>981-0111</v>
      </c>
      <c r="D298" s="2" t="str">
        <f>"宮城郡利府町加瀬字北窪２８－４"</f>
        <v>宮城郡利府町加瀬字北窪２８－４</v>
      </c>
      <c r="E298" s="2" t="str">
        <f>"022-385-5601  "</f>
        <v xml:space="preserve">022-385-5601  </v>
      </c>
      <c r="F298" s="2" t="s">
        <v>9</v>
      </c>
      <c r="G298" s="2" t="s">
        <v>1063</v>
      </c>
    </row>
    <row r="299" spans="1:7" ht="37.5" x14ac:dyDescent="0.4">
      <c r="A299" s="2">
        <v>298</v>
      </c>
      <c r="B299" s="2" t="s">
        <v>810</v>
      </c>
      <c r="C299" s="2" t="str">
        <f>"981-0132"</f>
        <v>981-0132</v>
      </c>
      <c r="D299" s="2" t="s">
        <v>811</v>
      </c>
      <c r="E299" s="2" t="str">
        <f>"022-767-4146  "</f>
        <v xml:space="preserve">022-767-4146  </v>
      </c>
      <c r="F299" s="2" t="s">
        <v>6</v>
      </c>
      <c r="G299" s="2" t="s">
        <v>48</v>
      </c>
    </row>
    <row r="300" spans="1:7" ht="37.5" x14ac:dyDescent="0.4">
      <c r="A300" s="2">
        <v>299</v>
      </c>
      <c r="B300" s="2" t="s">
        <v>1681</v>
      </c>
      <c r="C300" s="2" t="str">
        <f>"981-0132"</f>
        <v>981-0132</v>
      </c>
      <c r="D300" s="2" t="s">
        <v>1682</v>
      </c>
      <c r="E300" s="2" t="str">
        <f>"022-349-0311  "</f>
        <v xml:space="preserve">022-349-0311  </v>
      </c>
      <c r="F300" s="2" t="s">
        <v>9</v>
      </c>
      <c r="G300" s="2" t="s">
        <v>1063</v>
      </c>
    </row>
    <row r="301" spans="1:7" ht="37.5" x14ac:dyDescent="0.4">
      <c r="A301" s="2">
        <v>300</v>
      </c>
      <c r="B301" s="2" t="s">
        <v>1702</v>
      </c>
      <c r="C301" s="2" t="str">
        <f>"981-0114"</f>
        <v>981-0114</v>
      </c>
      <c r="D301" s="2" t="str">
        <f>"宮城郡利府町新中道２－５－８"</f>
        <v>宮城郡利府町新中道２－５－８</v>
      </c>
      <c r="E301" s="2" t="str">
        <f>"022-781-6819  "</f>
        <v xml:space="preserve">022-781-6819  </v>
      </c>
      <c r="F301" s="2" t="s">
        <v>9</v>
      </c>
      <c r="G301" s="2" t="s">
        <v>1063</v>
      </c>
    </row>
    <row r="302" spans="1:7" ht="37.5" x14ac:dyDescent="0.4">
      <c r="A302" s="2">
        <v>301</v>
      </c>
      <c r="B302" s="2" t="s">
        <v>803</v>
      </c>
      <c r="C302" s="2" t="str">
        <f>"981-0114"</f>
        <v>981-0114</v>
      </c>
      <c r="D302" s="2" t="str">
        <f>"宮城郡利府町新中道２丁目１－２"</f>
        <v>宮城郡利府町新中道２丁目１－２</v>
      </c>
      <c r="E302" s="2" t="str">
        <f>"022-356-8200  "</f>
        <v xml:space="preserve">022-356-8200  </v>
      </c>
      <c r="F302" s="2" t="s">
        <v>6</v>
      </c>
      <c r="G302" s="2" t="s">
        <v>804</v>
      </c>
    </row>
    <row r="303" spans="1:7" ht="56.25" x14ac:dyDescent="0.4">
      <c r="A303" s="2">
        <v>302</v>
      </c>
      <c r="B303" s="2" t="s">
        <v>822</v>
      </c>
      <c r="C303" s="2" t="str">
        <f>"981-0114"</f>
        <v>981-0114</v>
      </c>
      <c r="D303" s="2" t="str">
        <f>"宮城郡利府町新中道３－１－１イオンモール新利府南館２階　２０２７B"</f>
        <v>宮城郡利府町新中道３－１－１イオンモール新利府南館２階　２０２７B</v>
      </c>
      <c r="E303" s="2" t="str">
        <f>"022-385-6207  "</f>
        <v xml:space="preserve">022-385-6207  </v>
      </c>
      <c r="F303" s="2" t="s">
        <v>6</v>
      </c>
      <c r="G303" s="2" t="s">
        <v>48</v>
      </c>
    </row>
    <row r="304" spans="1:7" ht="37.5" x14ac:dyDescent="0.4">
      <c r="A304" s="2">
        <v>303</v>
      </c>
      <c r="B304" s="2" t="s">
        <v>1699</v>
      </c>
      <c r="C304" s="2" t="str">
        <f>"981-0114"</f>
        <v>981-0114</v>
      </c>
      <c r="D304" s="2" t="str">
        <f>"宮城郡利府町新中道３丁目１－１"</f>
        <v>宮城郡利府町新中道３丁目１－１</v>
      </c>
      <c r="E304" s="2" t="str">
        <f>"022-767-8420  "</f>
        <v xml:space="preserve">022-767-8420  </v>
      </c>
      <c r="F304" s="2" t="s">
        <v>9</v>
      </c>
      <c r="G304" s="2" t="s">
        <v>1063</v>
      </c>
    </row>
    <row r="305" spans="1:7" ht="37.5" x14ac:dyDescent="0.4">
      <c r="A305" s="2">
        <v>304</v>
      </c>
      <c r="B305" s="2" t="s">
        <v>823</v>
      </c>
      <c r="C305" s="2" t="str">
        <f>"981-0114"</f>
        <v>981-0114</v>
      </c>
      <c r="D305" s="2" t="s">
        <v>824</v>
      </c>
      <c r="E305" s="2" t="str">
        <f>"022-253-7549  "</f>
        <v xml:space="preserve">022-253-7549  </v>
      </c>
      <c r="F305" s="2" t="s">
        <v>6</v>
      </c>
      <c r="G305" s="2" t="s">
        <v>28</v>
      </c>
    </row>
    <row r="306" spans="1:7" ht="75" x14ac:dyDescent="0.4">
      <c r="A306" s="2">
        <v>305</v>
      </c>
      <c r="B306" s="2" t="s">
        <v>807</v>
      </c>
      <c r="C306" s="2" t="str">
        <f>"981-0103"</f>
        <v>981-0103</v>
      </c>
      <c r="D306" s="2" t="s">
        <v>808</v>
      </c>
      <c r="E306" s="2" t="str">
        <f>"022-767-2151  "</f>
        <v xml:space="preserve">022-767-2151  </v>
      </c>
      <c r="F306" s="2" t="s">
        <v>6</v>
      </c>
      <c r="G306" s="2" t="s">
        <v>809</v>
      </c>
    </row>
    <row r="307" spans="1:7" ht="37.5" x14ac:dyDescent="0.4">
      <c r="A307" s="2">
        <v>306</v>
      </c>
      <c r="B307" s="2" t="s">
        <v>1164</v>
      </c>
      <c r="C307" s="2" t="str">
        <f>"981-0121"</f>
        <v>981-0121</v>
      </c>
      <c r="D307" s="2" t="str">
        <f>"宮城郡利府町神谷沢字塚元　３６－６"</f>
        <v>宮城郡利府町神谷沢字塚元　３６－６</v>
      </c>
      <c r="E307" s="2" t="str">
        <f>"022-396-5161  "</f>
        <v xml:space="preserve">022-396-5161  </v>
      </c>
      <c r="F307" s="2" t="s">
        <v>9</v>
      </c>
      <c r="G307" s="2" t="s">
        <v>1063</v>
      </c>
    </row>
    <row r="308" spans="1:7" ht="37.5" x14ac:dyDescent="0.4">
      <c r="A308" s="2">
        <v>307</v>
      </c>
      <c r="B308" s="2" t="s">
        <v>1039</v>
      </c>
      <c r="C308" s="2" t="str">
        <f>"981-0135"</f>
        <v>981-0135</v>
      </c>
      <c r="D308" s="2" t="str">
        <f>"宮城郡利府町菅谷台　３－７－１"</f>
        <v>宮城郡利府町菅谷台　３－７－１</v>
      </c>
      <c r="E308" s="2" t="str">
        <f>"022-767-6480  "</f>
        <v xml:space="preserve">022-767-6480  </v>
      </c>
      <c r="F308" s="2" t="s">
        <v>6</v>
      </c>
      <c r="G308" s="2" t="s">
        <v>966</v>
      </c>
    </row>
    <row r="309" spans="1:7" ht="37.5" x14ac:dyDescent="0.4">
      <c r="A309" s="2">
        <v>308</v>
      </c>
      <c r="B309" s="2" t="s">
        <v>1697</v>
      </c>
      <c r="C309" s="2" t="str">
        <f>"981-0131"</f>
        <v>981-0131</v>
      </c>
      <c r="D309" s="2" t="s">
        <v>1698</v>
      </c>
      <c r="E309" s="2" t="str">
        <f>"022-767-7075  "</f>
        <v xml:space="preserve">022-767-7075  </v>
      </c>
      <c r="F309" s="2" t="s">
        <v>9</v>
      </c>
      <c r="G309" s="2" t="s">
        <v>1129</v>
      </c>
    </row>
    <row r="310" spans="1:7" ht="37.5" x14ac:dyDescent="0.4">
      <c r="A310" s="2">
        <v>309</v>
      </c>
      <c r="B310" s="2" t="s">
        <v>801</v>
      </c>
      <c r="C310" s="2" t="str">
        <f>"981-0133"</f>
        <v>981-0133</v>
      </c>
      <c r="D310" s="2" t="s">
        <v>802</v>
      </c>
      <c r="E310" s="2" t="str">
        <f>"022-356-6757  "</f>
        <v xml:space="preserve">022-356-6757  </v>
      </c>
      <c r="F310" s="2" t="s">
        <v>6</v>
      </c>
      <c r="G310" s="2" t="s">
        <v>122</v>
      </c>
    </row>
    <row r="311" spans="1:7" ht="56.25" x14ac:dyDescent="0.4">
      <c r="A311" s="2">
        <v>310</v>
      </c>
      <c r="B311" s="2" t="s">
        <v>820</v>
      </c>
      <c r="C311" s="2" t="str">
        <f>"981-0133"</f>
        <v>981-0133</v>
      </c>
      <c r="D311" s="2" t="str">
        <f>"宮城郡利府町青葉台２丁目２－１０８"</f>
        <v>宮城郡利府町青葉台２丁目２－１０８</v>
      </c>
      <c r="E311" s="2" t="str">
        <f>"022-355-4111  "</f>
        <v xml:space="preserve">022-355-4111  </v>
      </c>
      <c r="F311" s="2" t="s">
        <v>6</v>
      </c>
      <c r="G311" s="2" t="s">
        <v>821</v>
      </c>
    </row>
    <row r="312" spans="1:7" ht="37.5" x14ac:dyDescent="0.4">
      <c r="A312" s="2">
        <v>311</v>
      </c>
      <c r="B312" s="2" t="s">
        <v>1690</v>
      </c>
      <c r="C312" s="2" t="str">
        <f>"981-0133"</f>
        <v>981-0133</v>
      </c>
      <c r="D312" s="2" t="s">
        <v>1691</v>
      </c>
      <c r="E312" s="2" t="str">
        <f>"022-352-8582  "</f>
        <v xml:space="preserve">022-352-8582  </v>
      </c>
      <c r="F312" s="2" t="s">
        <v>9</v>
      </c>
      <c r="G312" s="2" t="s">
        <v>1063</v>
      </c>
    </row>
    <row r="313" spans="1:7" ht="37.5" x14ac:dyDescent="0.4">
      <c r="A313" s="2">
        <v>312</v>
      </c>
      <c r="B313" s="2" t="s">
        <v>1693</v>
      </c>
      <c r="C313" s="2" t="str">
        <f>"981-0133"</f>
        <v>981-0133</v>
      </c>
      <c r="D313" s="2" t="str">
        <f>"宮城郡利府町青葉台３－１－７０"</f>
        <v>宮城郡利府町青葉台３－１－７０</v>
      </c>
      <c r="E313" s="2" t="str">
        <f>"022-767-8868  "</f>
        <v xml:space="preserve">022-767-8868  </v>
      </c>
      <c r="F313" s="2" t="s">
        <v>9</v>
      </c>
      <c r="G313" s="2" t="s">
        <v>1063</v>
      </c>
    </row>
    <row r="314" spans="1:7" ht="37.5" x14ac:dyDescent="0.4">
      <c r="A314" s="2">
        <v>313</v>
      </c>
      <c r="B314" s="2" t="s">
        <v>812</v>
      </c>
      <c r="C314" s="2" t="str">
        <f>"981-0123"</f>
        <v>981-0123</v>
      </c>
      <c r="D314" s="2" t="str">
        <f>"宮城郡利府町沢乙字新北橋87－1"</f>
        <v>宮城郡利府町沢乙字新北橋87－1</v>
      </c>
      <c r="E314" s="2" t="str">
        <f>"022-767-8741  "</f>
        <v xml:space="preserve">022-767-8741  </v>
      </c>
      <c r="F314" s="2" t="s">
        <v>6</v>
      </c>
      <c r="G314" s="2" t="s">
        <v>646</v>
      </c>
    </row>
    <row r="315" spans="1:7" ht="37.5" x14ac:dyDescent="0.4">
      <c r="A315" s="2">
        <v>314</v>
      </c>
      <c r="B315" s="2" t="s">
        <v>805</v>
      </c>
      <c r="C315" s="2" t="str">
        <f>"981-0123"</f>
        <v>981-0123</v>
      </c>
      <c r="D315" s="2" t="str">
        <f>"宮城郡利府町沢乙寺下２－１"</f>
        <v>宮城郡利府町沢乙寺下２－１</v>
      </c>
      <c r="E315" s="2" t="str">
        <f>"022-356-7007  "</f>
        <v xml:space="preserve">022-356-7007  </v>
      </c>
      <c r="F315" s="2" t="s">
        <v>6</v>
      </c>
      <c r="G315" s="2" t="s">
        <v>204</v>
      </c>
    </row>
    <row r="316" spans="1:7" ht="37.5" x14ac:dyDescent="0.4">
      <c r="A316" s="2">
        <v>315</v>
      </c>
      <c r="B316" s="2" t="s">
        <v>806</v>
      </c>
      <c r="C316" s="2" t="str">
        <f>"981-0124"</f>
        <v>981-0124</v>
      </c>
      <c r="D316" s="2" t="str">
        <f>"宮城郡利府町沢乙東１－１４"</f>
        <v>宮城郡利府町沢乙東１－１４</v>
      </c>
      <c r="E316" s="2" t="str">
        <f>"022-767-6555  "</f>
        <v xml:space="preserve">022-767-6555  </v>
      </c>
      <c r="F316" s="2" t="s">
        <v>6</v>
      </c>
      <c r="G316" s="2" t="s">
        <v>79</v>
      </c>
    </row>
    <row r="317" spans="1:7" ht="37.5" x14ac:dyDescent="0.4">
      <c r="A317" s="2">
        <v>316</v>
      </c>
      <c r="B317" s="2" t="s">
        <v>818</v>
      </c>
      <c r="C317" s="2" t="str">
        <f>"981-0124"</f>
        <v>981-0124</v>
      </c>
      <c r="D317" s="2" t="s">
        <v>819</v>
      </c>
      <c r="E317" s="2" t="str">
        <f>"022-767-7444  "</f>
        <v xml:space="preserve">022-767-7444  </v>
      </c>
      <c r="F317" s="2" t="s">
        <v>6</v>
      </c>
      <c r="G317" s="2" t="s">
        <v>453</v>
      </c>
    </row>
    <row r="318" spans="1:7" ht="37.5" x14ac:dyDescent="0.4">
      <c r="A318" s="2">
        <v>317</v>
      </c>
      <c r="B318" s="2" t="s">
        <v>1706</v>
      </c>
      <c r="C318" s="2" t="str">
        <f>"981-0124"</f>
        <v>981-0124</v>
      </c>
      <c r="D318" s="2" t="str">
        <f>"宮城郡利府町沢乙東２－６"</f>
        <v>宮城郡利府町沢乙東２－６</v>
      </c>
      <c r="E318" s="2" t="str">
        <f>"022-349-1225  "</f>
        <v xml:space="preserve">022-349-1225  </v>
      </c>
      <c r="F318" s="2" t="s">
        <v>9</v>
      </c>
      <c r="G318" s="2" t="s">
        <v>1063</v>
      </c>
    </row>
    <row r="319" spans="1:7" ht="37.5" x14ac:dyDescent="0.4">
      <c r="A319" s="2">
        <v>318</v>
      </c>
      <c r="B319" s="2" t="s">
        <v>1679</v>
      </c>
      <c r="C319" s="2" t="str">
        <f>"981-0104"</f>
        <v>981-0104</v>
      </c>
      <c r="D319" s="2" t="s">
        <v>1680</v>
      </c>
      <c r="E319" s="2" t="str">
        <f>"022-356-7511  "</f>
        <v xml:space="preserve">022-356-7511  </v>
      </c>
      <c r="F319" s="2" t="s">
        <v>9</v>
      </c>
      <c r="G319" s="2" t="s">
        <v>1063</v>
      </c>
    </row>
    <row r="320" spans="1:7" ht="37.5" x14ac:dyDescent="0.4">
      <c r="A320" s="2">
        <v>319</v>
      </c>
      <c r="B320" s="2" t="s">
        <v>1703</v>
      </c>
      <c r="C320" s="2" t="str">
        <f>"981-0104"</f>
        <v>981-0104</v>
      </c>
      <c r="D320" s="2" t="str">
        <f>"宮城郡利府町中央２－７－１２"</f>
        <v>宮城郡利府町中央２－７－１２</v>
      </c>
      <c r="E320" s="2" t="str">
        <f>"022-357-058   "</f>
        <v xml:space="preserve">022-357-058   </v>
      </c>
      <c r="F320" s="2" t="s">
        <v>9</v>
      </c>
      <c r="G320" s="2" t="s">
        <v>1063</v>
      </c>
    </row>
    <row r="321" spans="1:7" ht="37.5" x14ac:dyDescent="0.4">
      <c r="A321" s="2">
        <v>320</v>
      </c>
      <c r="B321" s="2" t="s">
        <v>827</v>
      </c>
      <c r="C321" s="2" t="str">
        <f>"981-0104"</f>
        <v>981-0104</v>
      </c>
      <c r="D321" s="2" t="str">
        <f>"宮城郡利府町中央２－７－７"</f>
        <v>宮城郡利府町中央２－７－７</v>
      </c>
      <c r="E321" s="2" t="str">
        <f>"022-385-5161  "</f>
        <v xml:space="preserve">022-385-5161  </v>
      </c>
      <c r="F321" s="2" t="s">
        <v>6</v>
      </c>
      <c r="G321" s="2" t="s">
        <v>18</v>
      </c>
    </row>
    <row r="322" spans="1:7" ht="56.25" x14ac:dyDescent="0.4">
      <c r="A322" s="2">
        <v>321</v>
      </c>
      <c r="B322" s="2" t="s">
        <v>1700</v>
      </c>
      <c r="C322" s="2" t="str">
        <f>"981-0112"</f>
        <v>981-0112</v>
      </c>
      <c r="D322" s="2" t="s">
        <v>1701</v>
      </c>
      <c r="E322" s="2" t="str">
        <f>"022-349-5697  "</f>
        <v xml:space="preserve">022-349-5697  </v>
      </c>
      <c r="F322" s="2" t="s">
        <v>9</v>
      </c>
      <c r="G322" s="2" t="s">
        <v>1063</v>
      </c>
    </row>
    <row r="323" spans="1:7" ht="56.25" x14ac:dyDescent="0.4">
      <c r="A323" s="2">
        <v>322</v>
      </c>
      <c r="B323" s="2" t="s">
        <v>825</v>
      </c>
      <c r="C323" s="2" t="str">
        <f>"981-0112"</f>
        <v>981-0112</v>
      </c>
      <c r="D323" s="2" t="s">
        <v>826</v>
      </c>
      <c r="E323" s="2" t="str">
        <f>"022-369-3670  "</f>
        <v xml:space="preserve">022-369-3670  </v>
      </c>
      <c r="F323" s="2" t="s">
        <v>6</v>
      </c>
      <c r="G323" s="2" t="s">
        <v>779</v>
      </c>
    </row>
    <row r="324" spans="1:7" ht="56.25" x14ac:dyDescent="0.4">
      <c r="A324" s="2">
        <v>323</v>
      </c>
      <c r="B324" s="2" t="s">
        <v>1704</v>
      </c>
      <c r="C324" s="2" t="str">
        <f>"981-0112"</f>
        <v>981-0112</v>
      </c>
      <c r="D324" s="2" t="s">
        <v>1705</v>
      </c>
      <c r="E324" s="2" t="str">
        <f>"022-794-7552  "</f>
        <v xml:space="preserve">022-794-7552  </v>
      </c>
      <c r="F324" s="2" t="s">
        <v>9</v>
      </c>
      <c r="G324" s="2" t="s">
        <v>1063</v>
      </c>
    </row>
    <row r="325" spans="1:7" ht="37.5" x14ac:dyDescent="0.4">
      <c r="A325" s="2">
        <v>324</v>
      </c>
      <c r="B325" s="2" t="s">
        <v>816</v>
      </c>
      <c r="C325" s="2" t="str">
        <f>"981-0112"</f>
        <v>981-0112</v>
      </c>
      <c r="D325" s="2" t="str">
        <f>"宮城郡利府町利府字新館２－５"</f>
        <v>宮城郡利府町利府字新館２－５</v>
      </c>
      <c r="E325" s="2" t="str">
        <f>"022-766-4141  "</f>
        <v xml:space="preserve">022-766-4141  </v>
      </c>
      <c r="F325" s="2" t="s">
        <v>6</v>
      </c>
      <c r="G325" s="2" t="s">
        <v>817</v>
      </c>
    </row>
    <row r="326" spans="1:7" ht="37.5" x14ac:dyDescent="0.4">
      <c r="A326" s="2">
        <v>325</v>
      </c>
      <c r="B326" s="2" t="s">
        <v>1686</v>
      </c>
      <c r="C326" s="2" t="str">
        <f>"981-0112"</f>
        <v>981-0112</v>
      </c>
      <c r="D326" s="2" t="str">
        <f>"宮城郡利府町利府字新舘2-1"</f>
        <v>宮城郡利府町利府字新舘2-1</v>
      </c>
      <c r="E326" s="2" t="s">
        <v>7</v>
      </c>
      <c r="F326" s="2" t="s">
        <v>9</v>
      </c>
      <c r="G326" s="2"/>
    </row>
    <row r="327" spans="1:7" ht="37.5" x14ac:dyDescent="0.4">
      <c r="A327" s="2">
        <v>326</v>
      </c>
      <c r="B327" s="2" t="s">
        <v>1688</v>
      </c>
      <c r="C327" s="2" t="str">
        <f>"981-0112"</f>
        <v>981-0112</v>
      </c>
      <c r="D327" s="2" t="str">
        <f>"宮城郡利府町利府字新大谷地５３－１"</f>
        <v>宮城郡利府町利府字新大谷地５３－１</v>
      </c>
      <c r="E327" s="2" t="str">
        <f>"022-349-1220  "</f>
        <v xml:space="preserve">022-349-1220  </v>
      </c>
      <c r="F327" s="2" t="s">
        <v>9</v>
      </c>
      <c r="G327" s="2" t="s">
        <v>1063</v>
      </c>
    </row>
    <row r="328" spans="1:7" ht="37.5" x14ac:dyDescent="0.4">
      <c r="A328" s="2">
        <v>327</v>
      </c>
      <c r="B328" s="2" t="s">
        <v>533</v>
      </c>
      <c r="C328" s="2" t="str">
        <f>"987-2303"</f>
        <v>987-2303</v>
      </c>
      <c r="D328" s="2" t="s">
        <v>534</v>
      </c>
      <c r="E328" s="2" t="str">
        <f>"0228-54-2311  "</f>
        <v xml:space="preserve">0228-54-2311  </v>
      </c>
      <c r="F328" s="2" t="s">
        <v>6</v>
      </c>
      <c r="G328" s="2" t="s">
        <v>38</v>
      </c>
    </row>
    <row r="329" spans="1:7" ht="37.5" x14ac:dyDescent="0.4">
      <c r="A329" s="2">
        <v>328</v>
      </c>
      <c r="B329" s="2" t="s">
        <v>511</v>
      </c>
      <c r="C329" s="2" t="str">
        <f>"987-2308"</f>
        <v>987-2308</v>
      </c>
      <c r="D329" s="2" t="s">
        <v>512</v>
      </c>
      <c r="E329" s="2" t="str">
        <f>"0228-52-2122  "</f>
        <v xml:space="preserve">0228-52-2122  </v>
      </c>
      <c r="F329" s="2" t="s">
        <v>6</v>
      </c>
      <c r="G329" s="2" t="s">
        <v>150</v>
      </c>
    </row>
    <row r="330" spans="1:7" ht="37.5" x14ac:dyDescent="0.4">
      <c r="A330" s="2">
        <v>329</v>
      </c>
      <c r="B330" s="2" t="s">
        <v>508</v>
      </c>
      <c r="C330" s="2" t="str">
        <f>"987-2308"</f>
        <v>987-2308</v>
      </c>
      <c r="D330" s="2" t="s">
        <v>509</v>
      </c>
      <c r="E330" s="2" t="str">
        <f>"0228-52-2881  "</f>
        <v xml:space="preserve">0228-52-2881  </v>
      </c>
      <c r="F330" s="2" t="s">
        <v>6</v>
      </c>
      <c r="G330" s="2" t="s">
        <v>510</v>
      </c>
    </row>
    <row r="331" spans="1:7" ht="37.5" x14ac:dyDescent="0.4">
      <c r="A331" s="2">
        <v>330</v>
      </c>
      <c r="B331" s="2" t="s">
        <v>532</v>
      </c>
      <c r="C331" s="2" t="str">
        <f>"987-2308"</f>
        <v>987-2308</v>
      </c>
      <c r="D331" s="2" t="str">
        <f>"栗原市一迫真坂字清水山王前４－１"</f>
        <v>栗原市一迫真坂字清水山王前４－１</v>
      </c>
      <c r="E331" s="2" t="str">
        <f>"0228-52-2627  "</f>
        <v xml:space="preserve">0228-52-2627  </v>
      </c>
      <c r="F331" s="2" t="s">
        <v>6</v>
      </c>
      <c r="G331" s="2" t="s">
        <v>204</v>
      </c>
    </row>
    <row r="332" spans="1:7" ht="37.5" x14ac:dyDescent="0.4">
      <c r="A332" s="2">
        <v>331</v>
      </c>
      <c r="B332" s="2" t="s">
        <v>1435</v>
      </c>
      <c r="C332" s="2" t="str">
        <f>"987-2308"</f>
        <v>987-2308</v>
      </c>
      <c r="D332" s="2" t="s">
        <v>1436</v>
      </c>
      <c r="E332" s="2" t="str">
        <f>"0228-52-4614  "</f>
        <v xml:space="preserve">0228-52-4614  </v>
      </c>
      <c r="F332" s="2" t="s">
        <v>9</v>
      </c>
      <c r="G332" s="2" t="s">
        <v>1063</v>
      </c>
    </row>
    <row r="333" spans="1:7" ht="37.5" x14ac:dyDescent="0.4">
      <c r="A333" s="2">
        <v>332</v>
      </c>
      <c r="B333" s="2" t="s">
        <v>1831</v>
      </c>
      <c r="C333" s="2" t="str">
        <f>"987-2308"</f>
        <v>987-2308</v>
      </c>
      <c r="D333" s="2" t="s">
        <v>1832</v>
      </c>
      <c r="E333" s="2" t="str">
        <f>"0228-54-2751  "</f>
        <v xml:space="preserve">0228-54-2751  </v>
      </c>
      <c r="F333" s="2" t="s">
        <v>11</v>
      </c>
      <c r="G333" s="2" t="s">
        <v>1151</v>
      </c>
    </row>
    <row r="334" spans="1:7" ht="37.5" x14ac:dyDescent="0.4">
      <c r="A334" s="2">
        <v>333</v>
      </c>
      <c r="B334" s="2" t="s">
        <v>1446</v>
      </c>
      <c r="C334" s="2" t="str">
        <f>"987-2308"</f>
        <v>987-2308</v>
      </c>
      <c r="D334" s="2" t="str">
        <f>"栗原市一迫真坂字清水町田５－２"</f>
        <v>栗原市一迫真坂字清水町田５－２</v>
      </c>
      <c r="E334" s="2" t="str">
        <f>"0228-57-6888  "</f>
        <v xml:space="preserve">0228-57-6888  </v>
      </c>
      <c r="F334" s="2" t="s">
        <v>9</v>
      </c>
      <c r="G334" s="2" t="s">
        <v>1063</v>
      </c>
    </row>
    <row r="335" spans="1:7" ht="37.5" x14ac:dyDescent="0.4">
      <c r="A335" s="2">
        <v>334</v>
      </c>
      <c r="B335" s="2" t="s">
        <v>513</v>
      </c>
      <c r="C335" s="2" t="str">
        <f>"987-2308"</f>
        <v>987-2308</v>
      </c>
      <c r="D335" s="2" t="s">
        <v>514</v>
      </c>
      <c r="E335" s="2" t="str">
        <f>"0228-52-5115  "</f>
        <v xml:space="preserve">0228-52-5115  </v>
      </c>
      <c r="F335" s="2" t="s">
        <v>6</v>
      </c>
      <c r="G335" s="2" t="s">
        <v>515</v>
      </c>
    </row>
    <row r="336" spans="1:7" ht="37.5" x14ac:dyDescent="0.4">
      <c r="A336" s="2">
        <v>335</v>
      </c>
      <c r="B336" s="2" t="s">
        <v>1326</v>
      </c>
      <c r="C336" s="2" t="str">
        <f>"987-2308"</f>
        <v>987-2308</v>
      </c>
      <c r="D336" s="2" t="s">
        <v>1458</v>
      </c>
      <c r="E336" s="2" t="str">
        <f>"0228-57-6035  "</f>
        <v xml:space="preserve">0228-57-6035  </v>
      </c>
      <c r="F336" s="2" t="s">
        <v>9</v>
      </c>
      <c r="G336" s="2" t="s">
        <v>1063</v>
      </c>
    </row>
    <row r="337" spans="1:7" ht="37.5" x14ac:dyDescent="0.4">
      <c r="A337" s="2">
        <v>336</v>
      </c>
      <c r="B337" s="2" t="s">
        <v>996</v>
      </c>
      <c r="C337" s="2" t="str">
        <f>"987-2309"</f>
        <v>987-2309</v>
      </c>
      <c r="D337" s="2" t="s">
        <v>997</v>
      </c>
      <c r="E337" s="2" t="str">
        <f>"0228-52-2029  "</f>
        <v xml:space="preserve">0228-52-2029  </v>
      </c>
      <c r="F337" s="2" t="s">
        <v>6</v>
      </c>
      <c r="G337" s="2" t="s">
        <v>10</v>
      </c>
    </row>
    <row r="338" spans="1:7" x14ac:dyDescent="0.4">
      <c r="A338" s="2">
        <v>337</v>
      </c>
      <c r="B338" s="2" t="s">
        <v>1437</v>
      </c>
      <c r="C338" s="2" t="str">
        <f>"989-5171"</f>
        <v>989-5171</v>
      </c>
      <c r="D338" s="2" t="s">
        <v>1438</v>
      </c>
      <c r="E338" s="2" t="str">
        <f>"0228-42-2309  "</f>
        <v xml:space="preserve">0228-42-2309  </v>
      </c>
      <c r="F338" s="2" t="s">
        <v>9</v>
      </c>
      <c r="G338" s="2" t="s">
        <v>1063</v>
      </c>
    </row>
    <row r="339" spans="1:7" ht="37.5" x14ac:dyDescent="0.4">
      <c r="A339" s="2">
        <v>338</v>
      </c>
      <c r="B339" s="2" t="s">
        <v>518</v>
      </c>
      <c r="C339" s="2" t="str">
        <f>"989-4806"</f>
        <v>989-4806</v>
      </c>
      <c r="D339" s="2" t="str">
        <f>"栗原市金成有壁上原前４－７"</f>
        <v>栗原市金成有壁上原前４－７</v>
      </c>
      <c r="E339" s="2" t="str">
        <f>"0228-44-2005  "</f>
        <v xml:space="preserve">0228-44-2005  </v>
      </c>
      <c r="F339" s="2" t="s">
        <v>6</v>
      </c>
      <c r="G339" s="2" t="s">
        <v>519</v>
      </c>
    </row>
    <row r="340" spans="1:7" ht="37.5" x14ac:dyDescent="0.4">
      <c r="A340" s="2">
        <v>339</v>
      </c>
      <c r="B340" s="2" t="s">
        <v>1439</v>
      </c>
      <c r="C340" s="2" t="str">
        <f>"989-4806"</f>
        <v>989-4806</v>
      </c>
      <c r="D340" s="2" t="str">
        <f>"栗原市金成有壁上原前５－３"</f>
        <v>栗原市金成有壁上原前５－３</v>
      </c>
      <c r="E340" s="2" t="str">
        <f>"0228-44-2586  "</f>
        <v xml:space="preserve">0228-44-2586  </v>
      </c>
      <c r="F340" s="2" t="s">
        <v>9</v>
      </c>
      <c r="G340" s="2" t="s">
        <v>1129</v>
      </c>
    </row>
    <row r="341" spans="1:7" ht="37.5" x14ac:dyDescent="0.4">
      <c r="A341" s="2">
        <v>340</v>
      </c>
      <c r="B341" s="2" t="s">
        <v>1442</v>
      </c>
      <c r="C341" s="2" t="str">
        <f>"989-5301"</f>
        <v>989-5301</v>
      </c>
      <c r="D341" s="2" t="s">
        <v>1443</v>
      </c>
      <c r="E341" s="2" t="str">
        <f>"0228-45-5598  "</f>
        <v xml:space="preserve">0228-45-5598  </v>
      </c>
      <c r="F341" s="2" t="s">
        <v>9</v>
      </c>
      <c r="G341" s="2" t="s">
        <v>1063</v>
      </c>
    </row>
    <row r="342" spans="1:7" ht="37.5" x14ac:dyDescent="0.4">
      <c r="A342" s="2">
        <v>341</v>
      </c>
      <c r="B342" s="2" t="s">
        <v>522</v>
      </c>
      <c r="C342" s="2" t="str">
        <f>"989-5301"</f>
        <v>989-5301</v>
      </c>
      <c r="D342" s="2" t="s">
        <v>523</v>
      </c>
      <c r="E342" s="2" t="str">
        <f>"0228-45-2211  "</f>
        <v xml:space="preserve">0228-45-2211  </v>
      </c>
      <c r="F342" s="2" t="s">
        <v>6</v>
      </c>
      <c r="G342" s="2" t="s">
        <v>524</v>
      </c>
    </row>
    <row r="343" spans="1:7" ht="37.5" x14ac:dyDescent="0.4">
      <c r="A343" s="2">
        <v>342</v>
      </c>
      <c r="B343" s="2" t="s">
        <v>1433</v>
      </c>
      <c r="C343" s="2" t="str">
        <f>"989-5301"</f>
        <v>989-5301</v>
      </c>
      <c r="D343" s="2" t="str">
        <f>"栗原市栗駒岩ケ崎松木田２－１"</f>
        <v>栗原市栗駒岩ケ崎松木田２－１</v>
      </c>
      <c r="E343" s="2" t="str">
        <f>"0228-45-3035  "</f>
        <v xml:space="preserve">0228-45-3035  </v>
      </c>
      <c r="F343" s="2" t="s">
        <v>9</v>
      </c>
      <c r="G343" s="2" t="s">
        <v>1063</v>
      </c>
    </row>
    <row r="344" spans="1:7" ht="37.5" x14ac:dyDescent="0.4">
      <c r="A344" s="2">
        <v>343</v>
      </c>
      <c r="B344" s="2" t="s">
        <v>503</v>
      </c>
      <c r="C344" s="2" t="str">
        <f>"989-5301"</f>
        <v>989-5301</v>
      </c>
      <c r="D344" s="2" t="s">
        <v>504</v>
      </c>
      <c r="E344" s="2" t="str">
        <f>"0228-45-2128  "</f>
        <v xml:space="preserve">0228-45-2128  </v>
      </c>
      <c r="F344" s="2" t="s">
        <v>6</v>
      </c>
      <c r="G344" s="2" t="s">
        <v>38</v>
      </c>
    </row>
    <row r="345" spans="1:7" ht="37.5" x14ac:dyDescent="0.4">
      <c r="A345" s="2">
        <v>344</v>
      </c>
      <c r="B345" s="2" t="s">
        <v>543</v>
      </c>
      <c r="C345" s="2" t="str">
        <f>"989-5301"</f>
        <v>989-5301</v>
      </c>
      <c r="D345" s="2" t="str">
        <f>"栗原市栗駒岩ケ崎上小路１３３－２"</f>
        <v>栗原市栗駒岩ケ崎上小路１３３－２</v>
      </c>
      <c r="E345" s="2" t="str">
        <f>"0228-45-2126  "</f>
        <v xml:space="preserve">0228-45-2126  </v>
      </c>
      <c r="F345" s="2" t="s">
        <v>6</v>
      </c>
      <c r="G345" s="2" t="s">
        <v>122</v>
      </c>
    </row>
    <row r="346" spans="1:7" ht="37.5" x14ac:dyDescent="0.4">
      <c r="A346" s="2">
        <v>345</v>
      </c>
      <c r="B346" s="2" t="s">
        <v>505</v>
      </c>
      <c r="C346" s="2" t="str">
        <f>"989-5301"</f>
        <v>989-5301</v>
      </c>
      <c r="D346" s="2" t="s">
        <v>506</v>
      </c>
      <c r="E346" s="2" t="str">
        <f>"0228-45-2155  "</f>
        <v xml:space="preserve">0228-45-2155  </v>
      </c>
      <c r="F346" s="2" t="s">
        <v>6</v>
      </c>
      <c r="G346" s="2" t="s">
        <v>507</v>
      </c>
    </row>
    <row r="347" spans="1:7" ht="37.5" x14ac:dyDescent="0.4">
      <c r="A347" s="2">
        <v>346</v>
      </c>
      <c r="B347" s="2" t="s">
        <v>1434</v>
      </c>
      <c r="C347" s="2" t="str">
        <f>"989-5301"</f>
        <v>989-5301</v>
      </c>
      <c r="D347" s="2" t="str">
        <f>"栗原市栗駒岩ケ崎神南３１－３"</f>
        <v>栗原市栗駒岩ケ崎神南３１－３</v>
      </c>
      <c r="E347" s="2" t="str">
        <f>"0228-45-2789  "</f>
        <v xml:space="preserve">0228-45-2789  </v>
      </c>
      <c r="F347" s="2" t="s">
        <v>9</v>
      </c>
      <c r="G347" s="2" t="s">
        <v>1063</v>
      </c>
    </row>
    <row r="348" spans="1:7" ht="37.5" x14ac:dyDescent="0.4">
      <c r="A348" s="2">
        <v>347</v>
      </c>
      <c r="B348" s="2" t="s">
        <v>1431</v>
      </c>
      <c r="C348" s="2" t="str">
        <f>"989-5301"</f>
        <v>989-5301</v>
      </c>
      <c r="D348" s="2" t="s">
        <v>1432</v>
      </c>
      <c r="E348" s="2" t="str">
        <f>"0228-45-2053  "</f>
        <v xml:space="preserve">0228-45-2053  </v>
      </c>
      <c r="F348" s="2" t="s">
        <v>9</v>
      </c>
      <c r="G348" s="2" t="s">
        <v>1063</v>
      </c>
    </row>
    <row r="349" spans="1:7" ht="37.5" x14ac:dyDescent="0.4">
      <c r="A349" s="2">
        <v>348</v>
      </c>
      <c r="B349" s="2" t="s">
        <v>992</v>
      </c>
      <c r="C349" s="2" t="str">
        <f>"989-5301"</f>
        <v>989-5301</v>
      </c>
      <c r="D349" s="2" t="s">
        <v>993</v>
      </c>
      <c r="E349" s="2" t="str">
        <f>"0228-45-1265  "</f>
        <v xml:space="preserve">0228-45-1265  </v>
      </c>
      <c r="F349" s="2" t="s">
        <v>6</v>
      </c>
      <c r="G349" s="2" t="s">
        <v>10</v>
      </c>
    </row>
    <row r="350" spans="1:7" ht="37.5" x14ac:dyDescent="0.4">
      <c r="A350" s="2">
        <v>349</v>
      </c>
      <c r="B350" s="2" t="s">
        <v>1830</v>
      </c>
      <c r="C350" s="2" t="str">
        <f>"989-5301"</f>
        <v>989-5301</v>
      </c>
      <c r="D350" s="2" t="str">
        <f>"栗原市栗駒岩ケ崎六日町21－2"</f>
        <v>栗原市栗駒岩ケ崎六日町21－2</v>
      </c>
      <c r="E350" s="2" t="str">
        <f>"0228-45-4855  "</f>
        <v xml:space="preserve">0228-45-4855  </v>
      </c>
      <c r="F350" s="2" t="s">
        <v>11</v>
      </c>
      <c r="G350" s="2" t="s">
        <v>1151</v>
      </c>
    </row>
    <row r="351" spans="1:7" ht="37.5" x14ac:dyDescent="0.4">
      <c r="A351" s="2">
        <v>350</v>
      </c>
      <c r="B351" s="2" t="s">
        <v>1827</v>
      </c>
      <c r="C351" s="2" t="str">
        <f>"987-2216"</f>
        <v>987-2216</v>
      </c>
      <c r="D351" s="2" t="str">
        <f>"栗原市栗原市築館伊豆２－７－１７"</f>
        <v>栗原市栗原市築館伊豆２－７－１７</v>
      </c>
      <c r="E351" s="2" t="str">
        <f>"0228-24-8151  "</f>
        <v xml:space="preserve">0228-24-8151  </v>
      </c>
      <c r="F351" s="2" t="s">
        <v>11</v>
      </c>
      <c r="G351" s="2" t="s">
        <v>1151</v>
      </c>
    </row>
    <row r="352" spans="1:7" x14ac:dyDescent="0.4">
      <c r="A352" s="2">
        <v>351</v>
      </c>
      <c r="B352" s="2" t="s">
        <v>528</v>
      </c>
      <c r="C352" s="2" t="str">
        <f>"987-2133"</f>
        <v>987-2133</v>
      </c>
      <c r="D352" s="2" t="s">
        <v>529</v>
      </c>
      <c r="E352" s="2" t="str">
        <f>"0228-58-2020  "</f>
        <v xml:space="preserve">0228-58-2020  </v>
      </c>
      <c r="F352" s="2" t="s">
        <v>6</v>
      </c>
      <c r="G352" s="2" t="s">
        <v>38</v>
      </c>
    </row>
    <row r="353" spans="1:7" ht="37.5" x14ac:dyDescent="0.4">
      <c r="A353" s="2">
        <v>352</v>
      </c>
      <c r="B353" s="2" t="s">
        <v>1451</v>
      </c>
      <c r="C353" s="2" t="str">
        <f>"987-2133"</f>
        <v>987-2133</v>
      </c>
      <c r="D353" s="2" t="str">
        <f>"栗原市高清水桜丁３８－３"</f>
        <v>栗原市高清水桜丁３８－３</v>
      </c>
      <c r="E353" s="2" t="str">
        <f>"0228-58-2019  "</f>
        <v xml:space="preserve">0228-58-2019  </v>
      </c>
      <c r="F353" s="2" t="s">
        <v>9</v>
      </c>
      <c r="G353" s="2" t="s">
        <v>1063</v>
      </c>
    </row>
    <row r="354" spans="1:7" x14ac:dyDescent="0.4">
      <c r="A354" s="2">
        <v>353</v>
      </c>
      <c r="B354" s="2" t="s">
        <v>994</v>
      </c>
      <c r="C354" s="2" t="str">
        <f>"987-2176"</f>
        <v>987-2176</v>
      </c>
      <c r="D354" s="2" t="s">
        <v>995</v>
      </c>
      <c r="E354" s="2" t="str">
        <f>"0228-58-2633  "</f>
        <v xml:space="preserve">0228-58-2633  </v>
      </c>
      <c r="F354" s="2" t="s">
        <v>10</v>
      </c>
      <c r="G354" s="2" t="s">
        <v>902</v>
      </c>
    </row>
    <row r="355" spans="1:7" ht="37.5" x14ac:dyDescent="0.4">
      <c r="A355" s="2">
        <v>354</v>
      </c>
      <c r="B355" s="2" t="s">
        <v>1452</v>
      </c>
      <c r="C355" s="2" t="str">
        <f>"989-5613"</f>
        <v>989-5613</v>
      </c>
      <c r="D355" s="2" t="s">
        <v>1453</v>
      </c>
      <c r="E355" s="2" t="str">
        <f>"0228-23-3022  "</f>
        <v xml:space="preserve">0228-23-3022  </v>
      </c>
      <c r="F355" s="2" t="s">
        <v>9</v>
      </c>
      <c r="G355" s="2" t="s">
        <v>1063</v>
      </c>
    </row>
    <row r="356" spans="1:7" ht="37.5" x14ac:dyDescent="0.4">
      <c r="A356" s="2">
        <v>355</v>
      </c>
      <c r="B356" s="2" t="s">
        <v>539</v>
      </c>
      <c r="C356" s="2" t="str">
        <f>"989-5625"</f>
        <v>989-5625</v>
      </c>
      <c r="D356" s="2" t="str">
        <f>"栗原市志波姫堀口十文字１-１"</f>
        <v>栗原市志波姫堀口十文字１-１</v>
      </c>
      <c r="E356" s="2" t="str">
        <f>"0228-242-8073 "</f>
        <v xml:space="preserve">0228-242-8073 </v>
      </c>
      <c r="F356" s="2" t="s">
        <v>6</v>
      </c>
      <c r="G356" s="2" t="s">
        <v>540</v>
      </c>
    </row>
    <row r="357" spans="1:7" ht="37.5" x14ac:dyDescent="0.4">
      <c r="A357" s="2">
        <v>356</v>
      </c>
      <c r="B357" s="2" t="s">
        <v>1457</v>
      </c>
      <c r="C357" s="2" t="str">
        <f>"989-5625"</f>
        <v>989-5625</v>
      </c>
      <c r="D357" s="2" t="str">
        <f>"栗原市志波姫堀口十文字1-1"</f>
        <v>栗原市志波姫堀口十文字1-1</v>
      </c>
      <c r="E357" s="2" t="str">
        <f>"0228-23-3520  "</f>
        <v xml:space="preserve">0228-23-3520  </v>
      </c>
      <c r="F357" s="2" t="s">
        <v>9</v>
      </c>
      <c r="G357" s="2" t="s">
        <v>1063</v>
      </c>
    </row>
    <row r="358" spans="1:7" ht="37.5" x14ac:dyDescent="0.4">
      <c r="A358" s="2">
        <v>357</v>
      </c>
      <c r="B358" s="2" t="s">
        <v>541</v>
      </c>
      <c r="C358" s="2" t="str">
        <f>"989-5502"</f>
        <v>989-5502</v>
      </c>
      <c r="D358" s="2" t="str">
        <f>"栗原市若柳字川南堤通１９－１"</f>
        <v>栗原市若柳字川南堤通１９－１</v>
      </c>
      <c r="E358" s="2" t="str">
        <f>"0228-24-9490  "</f>
        <v xml:space="preserve">0228-24-9490  </v>
      </c>
      <c r="F358" s="2" t="s">
        <v>6</v>
      </c>
      <c r="G358" s="2" t="s">
        <v>48</v>
      </c>
    </row>
    <row r="359" spans="1:7" ht="37.5" x14ac:dyDescent="0.4">
      <c r="A359" s="2">
        <v>358</v>
      </c>
      <c r="B359" s="2" t="s">
        <v>1461</v>
      </c>
      <c r="C359" s="2" t="str">
        <f>"989-5502"</f>
        <v>989-5502</v>
      </c>
      <c r="D359" s="2" t="s">
        <v>1462</v>
      </c>
      <c r="E359" s="2" t="str">
        <f>"0228-24-8936  "</f>
        <v xml:space="preserve">0228-24-8936  </v>
      </c>
      <c r="F359" s="2" t="s">
        <v>9</v>
      </c>
      <c r="G359" s="2" t="s">
        <v>1063</v>
      </c>
    </row>
    <row r="360" spans="1:7" ht="37.5" x14ac:dyDescent="0.4">
      <c r="A360" s="2">
        <v>359</v>
      </c>
      <c r="B360" s="2" t="s">
        <v>1828</v>
      </c>
      <c r="C360" s="2" t="str">
        <f>"989-5501"</f>
        <v>989-5501</v>
      </c>
      <c r="D360" s="2" t="s">
        <v>1829</v>
      </c>
      <c r="E360" s="2" t="str">
        <f>"0228-32-7175  "</f>
        <v xml:space="preserve">0228-32-7175  </v>
      </c>
      <c r="F360" s="2" t="s">
        <v>11</v>
      </c>
      <c r="G360" s="2" t="s">
        <v>1151</v>
      </c>
    </row>
    <row r="361" spans="1:7" ht="37.5" x14ac:dyDescent="0.4">
      <c r="A361" s="2">
        <v>360</v>
      </c>
      <c r="B361" s="2" t="s">
        <v>525</v>
      </c>
      <c r="C361" s="2" t="str">
        <f>"989-5501"</f>
        <v>989-5501</v>
      </c>
      <c r="D361" s="2" t="str">
        <f>"栗原市若柳字川北原畑　２３－４"</f>
        <v>栗原市若柳字川北原畑　２３－４</v>
      </c>
      <c r="E361" s="2" t="str">
        <f>"0228-32-2335  "</f>
        <v xml:space="preserve">0228-32-2335  </v>
      </c>
      <c r="F361" s="2" t="s">
        <v>6</v>
      </c>
      <c r="G361" s="2" t="s">
        <v>526</v>
      </c>
    </row>
    <row r="362" spans="1:7" ht="37.5" x14ac:dyDescent="0.4">
      <c r="A362" s="2">
        <v>361</v>
      </c>
      <c r="B362" s="2" t="s">
        <v>1441</v>
      </c>
      <c r="C362" s="2" t="str">
        <f>"989-5501"</f>
        <v>989-5501</v>
      </c>
      <c r="D362" s="2" t="str">
        <f>"栗原市若柳字川北古川　１２２－２"</f>
        <v>栗原市若柳字川北古川　１２２－２</v>
      </c>
      <c r="E362" s="2" t="str">
        <f>"0228-32-7115  "</f>
        <v xml:space="preserve">0228-32-7115  </v>
      </c>
      <c r="F362" s="2" t="s">
        <v>9</v>
      </c>
      <c r="G362" s="2" t="s">
        <v>1063</v>
      </c>
    </row>
    <row r="363" spans="1:7" ht="37.5" x14ac:dyDescent="0.4">
      <c r="A363" s="2">
        <v>362</v>
      </c>
      <c r="B363" s="2" t="s">
        <v>501</v>
      </c>
      <c r="C363" s="2" t="str">
        <f>"989-5501"</f>
        <v>989-5501</v>
      </c>
      <c r="D363" s="2" t="s">
        <v>502</v>
      </c>
      <c r="E363" s="2" t="str">
        <f>"0228-32-2316  "</f>
        <v xml:space="preserve">0228-32-2316  </v>
      </c>
      <c r="F363" s="2" t="s">
        <v>6</v>
      </c>
      <c r="G363" s="2" t="s">
        <v>34</v>
      </c>
    </row>
    <row r="364" spans="1:7" ht="37.5" x14ac:dyDescent="0.4">
      <c r="A364" s="2">
        <v>363</v>
      </c>
      <c r="B364" s="2" t="s">
        <v>1428</v>
      </c>
      <c r="C364" s="2" t="str">
        <f>"989-5501"</f>
        <v>989-5501</v>
      </c>
      <c r="D364" s="2" t="str">
        <f>"栗原市若柳字川北古川１２０－７"</f>
        <v>栗原市若柳字川北古川１２０－７</v>
      </c>
      <c r="E364" s="2" t="str">
        <f>"0228-35-1178  "</f>
        <v xml:space="preserve">0228-35-1178  </v>
      </c>
      <c r="F364" s="2" t="s">
        <v>9</v>
      </c>
      <c r="G364" s="2" t="s">
        <v>1063</v>
      </c>
    </row>
    <row r="365" spans="1:7" ht="37.5" x14ac:dyDescent="0.4">
      <c r="A365" s="2">
        <v>364</v>
      </c>
      <c r="B365" s="2" t="s">
        <v>1441</v>
      </c>
      <c r="C365" s="2" t="str">
        <f>"989-5501"</f>
        <v>989-5501</v>
      </c>
      <c r="D365" s="2" t="str">
        <f>"栗原市若柳字川北古川122-2"</f>
        <v>栗原市若柳字川北古川122-2</v>
      </c>
      <c r="E365" s="2" t="str">
        <f>"0228-32-7115  "</f>
        <v xml:space="preserve">0228-32-7115  </v>
      </c>
      <c r="F365" s="2" t="s">
        <v>9</v>
      </c>
      <c r="G365" s="2" t="s">
        <v>1063</v>
      </c>
    </row>
    <row r="366" spans="1:7" ht="37.5" x14ac:dyDescent="0.4">
      <c r="A366" s="2">
        <v>365</v>
      </c>
      <c r="B366" s="2" t="s">
        <v>1444</v>
      </c>
      <c r="C366" s="2" t="str">
        <f>"989-5501"</f>
        <v>989-5501</v>
      </c>
      <c r="D366" s="2" t="str">
        <f>"栗原市若柳字川北古川１３－１８"</f>
        <v>栗原市若柳字川北古川１３－１８</v>
      </c>
      <c r="E366" s="2" t="str">
        <f>"0228-25-4530  "</f>
        <v xml:space="preserve">0228-25-4530  </v>
      </c>
      <c r="F366" s="2" t="s">
        <v>9</v>
      </c>
      <c r="G366" s="2" t="s">
        <v>1063</v>
      </c>
    </row>
    <row r="367" spans="1:7" ht="37.5" x14ac:dyDescent="0.4">
      <c r="A367" s="2">
        <v>366</v>
      </c>
      <c r="B367" s="2" t="s">
        <v>1447</v>
      </c>
      <c r="C367" s="2" t="str">
        <f>"989-5501"</f>
        <v>989-5501</v>
      </c>
      <c r="D367" s="2" t="s">
        <v>1448</v>
      </c>
      <c r="E367" s="2" t="str">
        <f>"0228-24-7704  "</f>
        <v xml:space="preserve">0228-24-7704  </v>
      </c>
      <c r="F367" s="2" t="s">
        <v>9</v>
      </c>
      <c r="G367" s="2" t="s">
        <v>1063</v>
      </c>
    </row>
    <row r="368" spans="1:7" ht="37.5" x14ac:dyDescent="0.4">
      <c r="A368" s="2">
        <v>367</v>
      </c>
      <c r="B368" s="2" t="s">
        <v>1429</v>
      </c>
      <c r="C368" s="2" t="str">
        <f>"989-5501"</f>
        <v>989-5501</v>
      </c>
      <c r="D368" s="2" t="s">
        <v>1430</v>
      </c>
      <c r="E368" s="2" t="str">
        <f>"0228-32-3357  "</f>
        <v xml:space="preserve">0228-32-3357  </v>
      </c>
      <c r="F368" s="2" t="s">
        <v>9</v>
      </c>
      <c r="G368" s="2" t="s">
        <v>1063</v>
      </c>
    </row>
    <row r="369" spans="1:7" ht="37.5" x14ac:dyDescent="0.4">
      <c r="A369" s="2">
        <v>368</v>
      </c>
      <c r="B369" s="2" t="s">
        <v>990</v>
      </c>
      <c r="C369" s="2" t="str">
        <f>"989-5501"</f>
        <v>989-5501</v>
      </c>
      <c r="D369" s="2" t="s">
        <v>991</v>
      </c>
      <c r="E369" s="2" t="str">
        <f>"0228-32-3148  "</f>
        <v xml:space="preserve">0228-32-3148  </v>
      </c>
      <c r="F369" s="2" t="s">
        <v>6</v>
      </c>
      <c r="G369" s="2" t="s">
        <v>982</v>
      </c>
    </row>
    <row r="370" spans="1:7" ht="56.25" x14ac:dyDescent="0.4">
      <c r="A370" s="2">
        <v>369</v>
      </c>
      <c r="B370" s="2" t="s">
        <v>498</v>
      </c>
      <c r="C370" s="2" t="str">
        <f>"989-5501"</f>
        <v>989-5501</v>
      </c>
      <c r="D370" s="2" t="s">
        <v>499</v>
      </c>
      <c r="E370" s="2" t="str">
        <f>"0228-32-2583  "</f>
        <v xml:space="preserve">0228-32-2583  </v>
      </c>
      <c r="F370" s="2" t="s">
        <v>6</v>
      </c>
      <c r="G370" s="2" t="s">
        <v>500</v>
      </c>
    </row>
    <row r="371" spans="1:7" ht="37.5" x14ac:dyDescent="0.4">
      <c r="A371" s="2">
        <v>370</v>
      </c>
      <c r="B371" s="2" t="s">
        <v>1427</v>
      </c>
      <c r="C371" s="2" t="str">
        <f>"989-5501"</f>
        <v>989-5501</v>
      </c>
      <c r="D371" s="2" t="str">
        <f>"栗原市若柳字川北堤下４２－３"</f>
        <v>栗原市若柳字川北堤下４２－３</v>
      </c>
      <c r="E371" s="2" t="str">
        <f>"0228-32-6375  "</f>
        <v xml:space="preserve">0228-32-6375  </v>
      </c>
      <c r="F371" s="2" t="s">
        <v>9</v>
      </c>
      <c r="G371" s="2" t="s">
        <v>1063</v>
      </c>
    </row>
    <row r="372" spans="1:7" ht="37.5" x14ac:dyDescent="0.4">
      <c r="A372" s="2">
        <v>371</v>
      </c>
      <c r="B372" s="2" t="s">
        <v>516</v>
      </c>
      <c r="C372" s="2" t="str">
        <f>"989-4521"</f>
        <v>989-4521</v>
      </c>
      <c r="D372" s="2" t="s">
        <v>517</v>
      </c>
      <c r="E372" s="2" t="str">
        <f>"0228-59-2005  "</f>
        <v xml:space="preserve">0228-59-2005  </v>
      </c>
      <c r="F372" s="2" t="s">
        <v>6</v>
      </c>
      <c r="G372" s="2" t="s">
        <v>50</v>
      </c>
    </row>
    <row r="373" spans="1:7" ht="37.5" x14ac:dyDescent="0.4">
      <c r="A373" s="2">
        <v>372</v>
      </c>
      <c r="B373" s="2" t="s">
        <v>1454</v>
      </c>
      <c r="C373" s="2" t="str">
        <f>"989-4521"</f>
        <v>989-4521</v>
      </c>
      <c r="D373" s="2" t="str">
        <f>"栗原市瀬峰下田１８５－５"</f>
        <v>栗原市瀬峰下田１８５－５</v>
      </c>
      <c r="E373" s="2" t="str">
        <f>"0228-38-3178  "</f>
        <v xml:space="preserve">0228-38-3178  </v>
      </c>
      <c r="F373" s="2" t="s">
        <v>9</v>
      </c>
      <c r="G373" s="2" t="s">
        <v>1129</v>
      </c>
    </row>
    <row r="374" spans="1:7" ht="37.5" x14ac:dyDescent="0.4">
      <c r="A374" s="2">
        <v>373</v>
      </c>
      <c r="B374" s="2" t="s">
        <v>527</v>
      </c>
      <c r="C374" s="2" t="str">
        <f>"989-4516"</f>
        <v>989-4516</v>
      </c>
      <c r="D374" s="2" t="str">
        <f>"栗原市瀬峰長者原　３７－２"</f>
        <v>栗原市瀬峰長者原　３７－２</v>
      </c>
      <c r="E374" s="2" t="str">
        <f>"0228-38-3121  "</f>
        <v xml:space="preserve">0228-38-3121  </v>
      </c>
      <c r="F374" s="2" t="s">
        <v>6</v>
      </c>
      <c r="G374" s="2" t="s">
        <v>38</v>
      </c>
    </row>
    <row r="375" spans="1:7" x14ac:dyDescent="0.4">
      <c r="A375" s="2">
        <v>374</v>
      </c>
      <c r="B375" s="2" t="s">
        <v>1459</v>
      </c>
      <c r="C375" s="2" t="str">
        <f>"989-4516"</f>
        <v>989-4516</v>
      </c>
      <c r="D375" s="2" t="str">
        <f>"栗原市瀬峰長者原37-4"</f>
        <v>栗原市瀬峰長者原37-4</v>
      </c>
      <c r="E375" s="2" t="str">
        <f>"0228-59-2051  "</f>
        <v xml:space="preserve">0228-59-2051  </v>
      </c>
      <c r="F375" s="2" t="s">
        <v>9</v>
      </c>
      <c r="G375" s="2" t="s">
        <v>1063</v>
      </c>
    </row>
    <row r="376" spans="1:7" ht="37.5" x14ac:dyDescent="0.4">
      <c r="A376" s="2">
        <v>375</v>
      </c>
      <c r="B376" s="2" t="s">
        <v>1464</v>
      </c>
      <c r="C376" s="2" t="str">
        <f>"987-2216"</f>
        <v>987-2216</v>
      </c>
      <c r="D376" s="2" t="s">
        <v>1465</v>
      </c>
      <c r="E376" s="2" t="str">
        <f>"0228-24-8869  "</f>
        <v xml:space="preserve">0228-24-8869  </v>
      </c>
      <c r="F376" s="2" t="s">
        <v>9</v>
      </c>
      <c r="G376" s="2" t="s">
        <v>1063</v>
      </c>
    </row>
    <row r="377" spans="1:7" ht="37.5" x14ac:dyDescent="0.4">
      <c r="A377" s="2">
        <v>376</v>
      </c>
      <c r="B377" s="2" t="s">
        <v>538</v>
      </c>
      <c r="C377" s="2" t="str">
        <f>"987-2216"</f>
        <v>987-2216</v>
      </c>
      <c r="D377" s="2" t="str">
        <f>"栗原市築館伊豆４－５－１５"</f>
        <v>栗原市築館伊豆４－５－１５</v>
      </c>
      <c r="E377" s="2" t="str">
        <f>"0228-22-7488  "</f>
        <v xml:space="preserve">0228-22-7488  </v>
      </c>
      <c r="F377" s="2" t="s">
        <v>6</v>
      </c>
      <c r="G377" s="2" t="s">
        <v>48</v>
      </c>
    </row>
    <row r="378" spans="1:7" ht="37.5" x14ac:dyDescent="0.4">
      <c r="A378" s="2">
        <v>377</v>
      </c>
      <c r="B378" s="2" t="s">
        <v>1424</v>
      </c>
      <c r="C378" s="2" t="str">
        <f>"987-2216"</f>
        <v>987-2216</v>
      </c>
      <c r="D378" s="2" t="str">
        <f>"栗原市築館伊豆一丁目６－２０"</f>
        <v>栗原市築館伊豆一丁目６－２０</v>
      </c>
      <c r="E378" s="2" t="str">
        <f>"0228-21-0012  "</f>
        <v xml:space="preserve">0228-21-0012  </v>
      </c>
      <c r="F378" s="2" t="s">
        <v>9</v>
      </c>
      <c r="G378" s="2" t="s">
        <v>1063</v>
      </c>
    </row>
    <row r="379" spans="1:7" ht="37.5" x14ac:dyDescent="0.4">
      <c r="A379" s="2">
        <v>378</v>
      </c>
      <c r="B379" s="2" t="s">
        <v>535</v>
      </c>
      <c r="C379" s="2" t="str">
        <f>"987-2216"</f>
        <v>987-2216</v>
      </c>
      <c r="D379" s="2" t="s">
        <v>536</v>
      </c>
      <c r="E379" s="2" t="str">
        <f>"0228-22-2661  "</f>
        <v xml:space="preserve">0228-22-2661  </v>
      </c>
      <c r="F379" s="2" t="s">
        <v>6</v>
      </c>
      <c r="G379" s="2" t="s">
        <v>537</v>
      </c>
    </row>
    <row r="380" spans="1:7" ht="37.5" x14ac:dyDescent="0.4">
      <c r="A380" s="2">
        <v>379</v>
      </c>
      <c r="B380" s="2" t="s">
        <v>989</v>
      </c>
      <c r="C380" s="2" t="str">
        <f>"987-2203"</f>
        <v>987-2203</v>
      </c>
      <c r="D380" s="2" t="str">
        <f>"栗原市築館下宮野八幡下　２１４－１"</f>
        <v>栗原市築館下宮野八幡下　２１４－１</v>
      </c>
      <c r="E380" s="2" t="str">
        <f>"0228-23-3748  "</f>
        <v xml:space="preserve">0228-23-3748  </v>
      </c>
      <c r="F380" s="2" t="s">
        <v>6</v>
      </c>
      <c r="G380" s="2" t="s">
        <v>941</v>
      </c>
    </row>
    <row r="381" spans="1:7" ht="37.5" x14ac:dyDescent="0.4">
      <c r="A381" s="2">
        <v>380</v>
      </c>
      <c r="B381" s="2" t="s">
        <v>1425</v>
      </c>
      <c r="C381" s="2" t="str">
        <f>"987-2205"</f>
        <v>987-2205</v>
      </c>
      <c r="D381" s="2" t="str">
        <f>"栗原市築館宮野中央　２－３－２４"</f>
        <v>栗原市築館宮野中央　２－３－２４</v>
      </c>
      <c r="E381" s="2" t="str">
        <f>"0228-21-3555  "</f>
        <v xml:space="preserve">0228-21-3555  </v>
      </c>
      <c r="F381" s="2" t="s">
        <v>9</v>
      </c>
      <c r="G381" s="2" t="s">
        <v>1063</v>
      </c>
    </row>
    <row r="382" spans="1:7" ht="93.75" x14ac:dyDescent="0.4">
      <c r="A382" s="2">
        <v>381</v>
      </c>
      <c r="B382" s="2" t="s">
        <v>520</v>
      </c>
      <c r="C382" s="2" t="str">
        <f>"987-2205"</f>
        <v>987-2205</v>
      </c>
      <c r="D382" s="2" t="str">
        <f>"栗原市築館宮野中央　３－１－１"</f>
        <v>栗原市築館宮野中央　３－１－１</v>
      </c>
      <c r="E382" s="2" t="str">
        <f>"0228-21-5330  "</f>
        <v xml:space="preserve">0228-21-5330  </v>
      </c>
      <c r="F382" s="2" t="s">
        <v>6</v>
      </c>
      <c r="G382" s="2" t="s">
        <v>521</v>
      </c>
    </row>
    <row r="383" spans="1:7" ht="37.5" x14ac:dyDescent="0.4">
      <c r="A383" s="2">
        <v>382</v>
      </c>
      <c r="B383" s="2" t="s">
        <v>542</v>
      </c>
      <c r="C383" s="2" t="str">
        <f>"987-2205"</f>
        <v>987-2205</v>
      </c>
      <c r="D383" s="2" t="str">
        <f>"栗原市築館宮野中央２－３－１３"</f>
        <v>栗原市築館宮野中央２－３－１３</v>
      </c>
      <c r="E383" s="2" t="str">
        <f>"0228-24-9055  "</f>
        <v xml:space="preserve">0228-24-9055  </v>
      </c>
      <c r="F383" s="2" t="s">
        <v>6</v>
      </c>
      <c r="G383" s="2" t="s">
        <v>489</v>
      </c>
    </row>
    <row r="384" spans="1:7" ht="37.5" x14ac:dyDescent="0.4">
      <c r="A384" s="2">
        <v>383</v>
      </c>
      <c r="B384" s="2" t="s">
        <v>531</v>
      </c>
      <c r="C384" s="2" t="str">
        <f>"987-2205"</f>
        <v>987-2205</v>
      </c>
      <c r="D384" s="2" t="str">
        <f>"栗原市築館宮野中央３－３－５"</f>
        <v>栗原市築館宮野中央３－３－５</v>
      </c>
      <c r="E384" s="2" t="str">
        <f>"0228-22-0228  "</f>
        <v xml:space="preserve">0228-22-0228  </v>
      </c>
      <c r="F384" s="2" t="s">
        <v>6</v>
      </c>
      <c r="G384" s="2" t="s">
        <v>48</v>
      </c>
    </row>
    <row r="385" spans="1:7" ht="37.5" x14ac:dyDescent="0.4">
      <c r="A385" s="2">
        <v>384</v>
      </c>
      <c r="B385" s="2" t="s">
        <v>1455</v>
      </c>
      <c r="C385" s="2" t="str">
        <f>"987-2205"</f>
        <v>987-2205</v>
      </c>
      <c r="D385" s="2" t="str">
        <f>"栗原市築館宮野中央３－４－５"</f>
        <v>栗原市築館宮野中央３－４－５</v>
      </c>
      <c r="E385" s="2" t="str">
        <f>"0228-21-3931  "</f>
        <v xml:space="preserve">0228-21-3931  </v>
      </c>
      <c r="F385" s="2" t="s">
        <v>9</v>
      </c>
      <c r="G385" s="2" t="s">
        <v>1063</v>
      </c>
    </row>
    <row r="386" spans="1:7" ht="37.5" x14ac:dyDescent="0.4">
      <c r="A386" s="2">
        <v>385</v>
      </c>
      <c r="B386" s="2" t="s">
        <v>1426</v>
      </c>
      <c r="C386" s="2" t="str">
        <f>"987-2211"</f>
        <v>987-2211</v>
      </c>
      <c r="D386" s="2" t="str">
        <f>"栗原市築館源光　４－４６"</f>
        <v>栗原市築館源光　４－４６</v>
      </c>
      <c r="E386" s="2" t="str">
        <f>"0228-25-0071  "</f>
        <v xml:space="preserve">0228-25-0071  </v>
      </c>
      <c r="F386" s="2" t="s">
        <v>9</v>
      </c>
      <c r="G386" s="2" t="s">
        <v>1063</v>
      </c>
    </row>
    <row r="387" spans="1:7" ht="37.5" x14ac:dyDescent="0.4">
      <c r="A387" s="2">
        <v>386</v>
      </c>
      <c r="B387" s="2" t="s">
        <v>496</v>
      </c>
      <c r="C387" s="2" t="str">
        <f>"987-2211"</f>
        <v>987-2211</v>
      </c>
      <c r="D387" s="2" t="str">
        <f>"栗原市築館源光　４－４７"</f>
        <v>栗原市築館源光　４－４７</v>
      </c>
      <c r="E387" s="2" t="str">
        <f>"0228-21-1313  "</f>
        <v xml:space="preserve">0228-21-1313  </v>
      </c>
      <c r="F387" s="2" t="s">
        <v>6</v>
      </c>
      <c r="G387" s="2" t="s">
        <v>497</v>
      </c>
    </row>
    <row r="388" spans="1:7" ht="37.5" x14ac:dyDescent="0.4">
      <c r="A388" s="2">
        <v>387</v>
      </c>
      <c r="B388" s="2" t="s">
        <v>494</v>
      </c>
      <c r="C388" s="2" t="str">
        <f>"987-2215"</f>
        <v>987-2215</v>
      </c>
      <c r="D388" s="2" t="str">
        <f>"栗原市築館高田　２－２－２０"</f>
        <v>栗原市築館高田　２－２－２０</v>
      </c>
      <c r="E388" s="2" t="str">
        <f>"0228-22-0066  "</f>
        <v xml:space="preserve">0228-22-0066  </v>
      </c>
      <c r="F388" s="2" t="s">
        <v>6</v>
      </c>
      <c r="G388" s="2" t="s">
        <v>42</v>
      </c>
    </row>
    <row r="389" spans="1:7" ht="37.5" x14ac:dyDescent="0.4">
      <c r="A389" s="2">
        <v>388</v>
      </c>
      <c r="B389" s="2" t="s">
        <v>1445</v>
      </c>
      <c r="C389" s="2" t="str">
        <f>"987-2215"</f>
        <v>987-2215</v>
      </c>
      <c r="D389" s="2" t="str">
        <f>"栗原市築館高田２－１８－１３１"</f>
        <v>栗原市築館高田２－１８－１３１</v>
      </c>
      <c r="E389" s="2" t="str">
        <f>"0228-21-2888  "</f>
        <v xml:space="preserve">0228-21-2888  </v>
      </c>
      <c r="F389" s="2" t="s">
        <v>9</v>
      </c>
      <c r="G389" s="2" t="s">
        <v>1063</v>
      </c>
    </row>
    <row r="390" spans="1:7" ht="37.5" x14ac:dyDescent="0.4">
      <c r="A390" s="2">
        <v>389</v>
      </c>
      <c r="B390" s="2" t="s">
        <v>1456</v>
      </c>
      <c r="C390" s="2" t="str">
        <f>"987-2272"</f>
        <v>987-2272</v>
      </c>
      <c r="D390" s="2" t="str">
        <f>"栗原市築館字留場桜町25-1"</f>
        <v>栗原市築館字留場桜町25-1</v>
      </c>
      <c r="E390" s="2" t="str">
        <f>"0228-21-5038  "</f>
        <v xml:space="preserve">0228-21-5038  </v>
      </c>
      <c r="F390" s="2" t="s">
        <v>9</v>
      </c>
      <c r="G390" s="2" t="s">
        <v>1063</v>
      </c>
    </row>
    <row r="391" spans="1:7" ht="37.5" x14ac:dyDescent="0.4">
      <c r="A391" s="2">
        <v>390</v>
      </c>
      <c r="B391" s="2" t="s">
        <v>1449</v>
      </c>
      <c r="C391" s="2" t="str">
        <f>"987-2252"</f>
        <v>987-2252</v>
      </c>
      <c r="D391" s="2" t="s">
        <v>1450</v>
      </c>
      <c r="E391" s="2" t="str">
        <f>"0228-22-2555  "</f>
        <v xml:space="preserve">0228-22-2555  </v>
      </c>
      <c r="F391" s="2" t="s">
        <v>9</v>
      </c>
      <c r="G391" s="2" t="s">
        <v>1063</v>
      </c>
    </row>
    <row r="392" spans="1:7" ht="37.5" x14ac:dyDescent="0.4">
      <c r="A392" s="2">
        <v>391</v>
      </c>
      <c r="B392" s="2" t="s">
        <v>495</v>
      </c>
      <c r="C392" s="2" t="str">
        <f>"987-2252"</f>
        <v>987-2252</v>
      </c>
      <c r="D392" s="2" t="str">
        <f>"栗原市築館薬師　３－３－３３"</f>
        <v>栗原市築館薬師　３－３－３３</v>
      </c>
      <c r="E392" s="2" t="str">
        <f>"0228-22-2005  "</f>
        <v xml:space="preserve">0228-22-2005  </v>
      </c>
      <c r="F392" s="2" t="s">
        <v>6</v>
      </c>
      <c r="G392" s="2" t="s">
        <v>62</v>
      </c>
    </row>
    <row r="393" spans="1:7" ht="37.5" x14ac:dyDescent="0.4">
      <c r="A393" s="2">
        <v>392</v>
      </c>
      <c r="B393" s="2" t="s">
        <v>493</v>
      </c>
      <c r="C393" s="2" t="str">
        <f>"987-2252"</f>
        <v>987-2252</v>
      </c>
      <c r="D393" s="2" t="str">
        <f>"栗原市築館薬師　４－３－３０"</f>
        <v>栗原市築館薬師　４－３－３０</v>
      </c>
      <c r="E393" s="2" t="str">
        <f>"0228-22-2655  "</f>
        <v xml:space="preserve">0228-22-2655  </v>
      </c>
      <c r="F393" s="2" t="s">
        <v>6</v>
      </c>
      <c r="G393" s="2" t="s">
        <v>38</v>
      </c>
    </row>
    <row r="394" spans="1:7" ht="37.5" x14ac:dyDescent="0.4">
      <c r="A394" s="2">
        <v>393</v>
      </c>
      <c r="B394" s="2" t="s">
        <v>1440</v>
      </c>
      <c r="C394" s="2" t="str">
        <f>"987-2252"</f>
        <v>987-2252</v>
      </c>
      <c r="D394" s="2" t="str">
        <f>"栗原市築館薬師　４－５－１"</f>
        <v>栗原市築館薬師　４－５－１</v>
      </c>
      <c r="E394" s="2" t="str">
        <f>"0228-21-1225  "</f>
        <v xml:space="preserve">0228-21-1225  </v>
      </c>
      <c r="F394" s="2" t="s">
        <v>9</v>
      </c>
      <c r="G394" s="2" t="s">
        <v>1063</v>
      </c>
    </row>
    <row r="395" spans="1:7" ht="37.5" x14ac:dyDescent="0.4">
      <c r="A395" s="2">
        <v>394</v>
      </c>
      <c r="B395" s="2" t="s">
        <v>1463</v>
      </c>
      <c r="C395" s="2" t="str">
        <f>"987-2272"</f>
        <v>987-2272</v>
      </c>
      <c r="D395" s="2" t="str">
        <f>"栗原市築館留場桜町１８－１"</f>
        <v>栗原市築館留場桜町１８－１</v>
      </c>
      <c r="E395" s="2" t="str">
        <f>"0228-22-2017  "</f>
        <v xml:space="preserve">0228-22-2017  </v>
      </c>
      <c r="F395" s="2" t="s">
        <v>9</v>
      </c>
      <c r="G395" s="2" t="s">
        <v>1063</v>
      </c>
    </row>
    <row r="396" spans="1:7" ht="37.5" x14ac:dyDescent="0.4">
      <c r="A396" s="2">
        <v>395</v>
      </c>
      <c r="B396" s="2" t="s">
        <v>530</v>
      </c>
      <c r="C396" s="2" t="str">
        <f>"989-5402"</f>
        <v>989-5402</v>
      </c>
      <c r="D396" s="2" t="str">
        <f>"栗原市鶯沢南郷広面３８－１"</f>
        <v>栗原市鶯沢南郷広面３８－１</v>
      </c>
      <c r="E396" s="2" t="str">
        <f>"0228-55-3511  "</f>
        <v xml:space="preserve">0228-55-3511  </v>
      </c>
      <c r="F396" s="2" t="s">
        <v>6</v>
      </c>
      <c r="G396" s="2" t="s">
        <v>38</v>
      </c>
    </row>
    <row r="397" spans="1:7" ht="37.5" x14ac:dyDescent="0.4">
      <c r="A397" s="2">
        <v>396</v>
      </c>
      <c r="B397" s="2" t="s">
        <v>1460</v>
      </c>
      <c r="C397" s="2" t="str">
        <f>"989-5402"</f>
        <v>989-5402</v>
      </c>
      <c r="D397" s="2" t="str">
        <f>"栗原市鶯沢南郷広面５－２"</f>
        <v>栗原市鶯沢南郷広面５－２</v>
      </c>
      <c r="E397" s="2" t="str">
        <f>"0228-55-2566  "</f>
        <v xml:space="preserve">0228-55-2566  </v>
      </c>
      <c r="F397" s="2" t="s">
        <v>9</v>
      </c>
      <c r="G397" s="2" t="s">
        <v>1063</v>
      </c>
    </row>
    <row r="398" spans="1:7" ht="37.5" x14ac:dyDescent="0.4">
      <c r="A398" s="2">
        <v>397</v>
      </c>
      <c r="B398" s="2" t="s">
        <v>839</v>
      </c>
      <c r="C398" s="2" t="str">
        <f>"981-3515"</f>
        <v>981-3515</v>
      </c>
      <c r="D398" s="2" t="str">
        <f>"黒川郡大郷町羽生字中ノ町１１－１"</f>
        <v>黒川郡大郷町羽生字中ノ町１１－１</v>
      </c>
      <c r="E398" s="2" t="str">
        <f>"022-359-4123  "</f>
        <v xml:space="preserve">022-359-4123  </v>
      </c>
      <c r="F398" s="2" t="s">
        <v>6</v>
      </c>
      <c r="G398" s="2" t="s">
        <v>840</v>
      </c>
    </row>
    <row r="399" spans="1:7" ht="37.5" x14ac:dyDescent="0.4">
      <c r="A399" s="2">
        <v>398</v>
      </c>
      <c r="B399" s="2" t="s">
        <v>1867</v>
      </c>
      <c r="C399" s="2" t="str">
        <f>"981-3515"</f>
        <v>981-3515</v>
      </c>
      <c r="D399" s="2" t="s">
        <v>1868</v>
      </c>
      <c r="E399" s="2" t="str">
        <f>"022-359-2562  "</f>
        <v xml:space="preserve">022-359-2562  </v>
      </c>
      <c r="F399" s="2" t="s">
        <v>11</v>
      </c>
      <c r="G399" s="2" t="s">
        <v>1151</v>
      </c>
    </row>
    <row r="400" spans="1:7" ht="37.5" x14ac:dyDescent="0.4">
      <c r="A400" s="2">
        <v>399</v>
      </c>
      <c r="B400" s="2" t="s">
        <v>1190</v>
      </c>
      <c r="C400" s="2" t="str">
        <f>"981-3515"</f>
        <v>981-3515</v>
      </c>
      <c r="D400" s="2" t="str">
        <f>"黒川郡大郷町羽生字中ノ町2-4"</f>
        <v>黒川郡大郷町羽生字中ノ町2-4</v>
      </c>
      <c r="E400" s="2" t="str">
        <f>"022-359-4528  "</f>
        <v xml:space="preserve">022-359-4528  </v>
      </c>
      <c r="F400" s="2" t="s">
        <v>9</v>
      </c>
      <c r="G400" s="2" t="s">
        <v>1063</v>
      </c>
    </row>
    <row r="401" spans="1:7" ht="37.5" x14ac:dyDescent="0.4">
      <c r="A401" s="2">
        <v>400</v>
      </c>
      <c r="B401" s="2" t="s">
        <v>1044</v>
      </c>
      <c r="C401" s="2" t="str">
        <f>"981-3521"</f>
        <v>981-3521</v>
      </c>
      <c r="D401" s="2" t="str">
        <f>"黒川郡大郷町中村字谷地際山　５－１２"</f>
        <v>黒川郡大郷町中村字谷地際山　５－１２</v>
      </c>
      <c r="E401" s="2" t="str">
        <f>"022-359-2821  "</f>
        <v xml:space="preserve">022-359-2821  </v>
      </c>
      <c r="F401" s="2" t="s">
        <v>6</v>
      </c>
      <c r="G401" s="2" t="s">
        <v>941</v>
      </c>
    </row>
    <row r="402" spans="1:7" ht="75" x14ac:dyDescent="0.4">
      <c r="A402" s="2">
        <v>401</v>
      </c>
      <c r="B402" s="2" t="s">
        <v>841</v>
      </c>
      <c r="C402" s="2" t="str">
        <f>"981-3602"</f>
        <v>981-3602</v>
      </c>
      <c r="D402" s="2" t="s">
        <v>842</v>
      </c>
      <c r="E402" s="2" t="str">
        <f>"022-345-2336  "</f>
        <v xml:space="preserve">022-345-2336  </v>
      </c>
      <c r="F402" s="2" t="s">
        <v>6</v>
      </c>
      <c r="G402" s="2" t="s">
        <v>843</v>
      </c>
    </row>
    <row r="403" spans="1:7" ht="37.5" x14ac:dyDescent="0.4">
      <c r="A403" s="2">
        <v>402</v>
      </c>
      <c r="B403" s="2" t="s">
        <v>846</v>
      </c>
      <c r="C403" s="2" t="str">
        <f>"981-3623"</f>
        <v>981-3623</v>
      </c>
      <c r="D403" s="2" t="str">
        <f>"黒川郡大和町しあわせの杜８－１０"</f>
        <v>黒川郡大和町しあわせの杜８－１０</v>
      </c>
      <c r="E403" s="2" t="str">
        <f>"022-358-5101  "</f>
        <v xml:space="preserve">022-358-5101  </v>
      </c>
      <c r="F403" s="2" t="s">
        <v>6</v>
      </c>
      <c r="G403" s="2" t="s">
        <v>61</v>
      </c>
    </row>
    <row r="404" spans="1:7" ht="37.5" x14ac:dyDescent="0.4">
      <c r="A404" s="2">
        <v>403</v>
      </c>
      <c r="B404" s="2" t="s">
        <v>1729</v>
      </c>
      <c r="C404" s="2" t="str">
        <f>"981-3623"</f>
        <v>981-3623</v>
      </c>
      <c r="D404" s="2" t="str">
        <f>"黒川郡大和町しあわせの杜８－４"</f>
        <v>黒川郡大和町しあわせの杜８－４</v>
      </c>
      <c r="E404" s="2" t="str">
        <f>"022-348-9121  "</f>
        <v xml:space="preserve">022-348-9121  </v>
      </c>
      <c r="F404" s="2" t="s">
        <v>9</v>
      </c>
      <c r="G404" s="2" t="s">
        <v>1063</v>
      </c>
    </row>
    <row r="405" spans="1:7" ht="37.5" x14ac:dyDescent="0.4">
      <c r="A405" s="2">
        <v>404</v>
      </c>
      <c r="B405" s="2" t="s">
        <v>832</v>
      </c>
      <c r="C405" s="2" t="str">
        <f>"981-3419"</f>
        <v>981-3419</v>
      </c>
      <c r="D405" s="2" t="str">
        <f>"黒川郡大和町まいの２－２－４"</f>
        <v>黒川郡大和町まいの２－２－４</v>
      </c>
      <c r="E405" s="2" t="str">
        <f>"022-345-3411  "</f>
        <v xml:space="preserve">022-345-3411  </v>
      </c>
      <c r="F405" s="2" t="s">
        <v>6</v>
      </c>
      <c r="G405" s="2" t="s">
        <v>38</v>
      </c>
    </row>
    <row r="406" spans="1:7" ht="37.5" x14ac:dyDescent="0.4">
      <c r="A406" s="2">
        <v>405</v>
      </c>
      <c r="B406" s="2" t="s">
        <v>1716</v>
      </c>
      <c r="C406" s="2" t="str">
        <f>"981-3622"</f>
        <v>981-3622</v>
      </c>
      <c r="D406" s="2" t="s">
        <v>1717</v>
      </c>
      <c r="E406" s="2" t="str">
        <f>"022-348-0855  "</f>
        <v xml:space="preserve">022-348-0855  </v>
      </c>
      <c r="F406" s="2" t="s">
        <v>9</v>
      </c>
      <c r="G406" s="2" t="s">
        <v>1063</v>
      </c>
    </row>
    <row r="407" spans="1:7" ht="37.5" x14ac:dyDescent="0.4">
      <c r="A407" s="2">
        <v>406</v>
      </c>
      <c r="B407" s="2" t="s">
        <v>1730</v>
      </c>
      <c r="C407" s="2" t="str">
        <f>"981-3623"</f>
        <v>981-3623</v>
      </c>
      <c r="D407" s="2" t="str">
        <f>"黒川郡大和町吉岡まほろば1-2-8"</f>
        <v>黒川郡大和町吉岡まほろば1-2-8</v>
      </c>
      <c r="E407" s="2" t="str">
        <f>"022-346-9287  "</f>
        <v xml:space="preserve">022-346-9287  </v>
      </c>
      <c r="F407" s="2" t="s">
        <v>9</v>
      </c>
      <c r="G407" s="2" t="s">
        <v>1063</v>
      </c>
    </row>
    <row r="408" spans="1:7" ht="37.5" x14ac:dyDescent="0.4">
      <c r="A408" s="2">
        <v>407</v>
      </c>
      <c r="B408" s="2" t="s">
        <v>491</v>
      </c>
      <c r="C408" s="2" t="str">
        <f>"981-3632"</f>
        <v>981-3632</v>
      </c>
      <c r="D408" s="2" t="str">
        <f>"黒川郡大和町吉岡まほろば２－２－９"</f>
        <v>黒川郡大和町吉岡まほろば２－２－９</v>
      </c>
      <c r="E408" s="2" t="str">
        <f>"022-725-4121  "</f>
        <v xml:space="preserve">022-725-4121  </v>
      </c>
      <c r="F408" s="2" t="s">
        <v>6</v>
      </c>
      <c r="G408" s="2" t="s">
        <v>492</v>
      </c>
    </row>
    <row r="409" spans="1:7" ht="37.5" x14ac:dyDescent="0.4">
      <c r="A409" s="2">
        <v>408</v>
      </c>
      <c r="B409" s="2" t="s">
        <v>1726</v>
      </c>
      <c r="C409" s="2" t="str">
        <f>"981-3632"</f>
        <v>981-3632</v>
      </c>
      <c r="D409" s="2" t="s">
        <v>1727</v>
      </c>
      <c r="E409" s="2" t="str">
        <f>"022-345-2268  "</f>
        <v xml:space="preserve">022-345-2268  </v>
      </c>
      <c r="F409" s="2" t="s">
        <v>9</v>
      </c>
      <c r="G409" s="2" t="s">
        <v>1063</v>
      </c>
    </row>
    <row r="410" spans="1:7" ht="37.5" x14ac:dyDescent="0.4">
      <c r="A410" s="2">
        <v>409</v>
      </c>
      <c r="B410" s="2" t="s">
        <v>1719</v>
      </c>
      <c r="C410" s="2" t="str">
        <f>"981-3626"</f>
        <v>981-3626</v>
      </c>
      <c r="D410" s="2" t="s">
        <v>1720</v>
      </c>
      <c r="E410" s="2" t="str">
        <f>"022-725-4224  "</f>
        <v xml:space="preserve">022-725-4224  </v>
      </c>
      <c r="F410" s="2" t="s">
        <v>9</v>
      </c>
      <c r="G410" s="2" t="s">
        <v>1063</v>
      </c>
    </row>
    <row r="411" spans="1:7" ht="37.5" x14ac:dyDescent="0.4">
      <c r="A411" s="2">
        <v>410</v>
      </c>
      <c r="B411" s="2" t="s">
        <v>835</v>
      </c>
      <c r="C411" s="2" t="str">
        <f>"981-3632"</f>
        <v>981-3632</v>
      </c>
      <c r="D411" s="2" t="s">
        <v>836</v>
      </c>
      <c r="E411" s="2" t="str">
        <f>"022-345-9901  "</f>
        <v xml:space="preserve">022-345-9901  </v>
      </c>
      <c r="F411" s="2" t="s">
        <v>6</v>
      </c>
      <c r="G411" s="2" t="s">
        <v>837</v>
      </c>
    </row>
    <row r="412" spans="1:7" ht="37.5" x14ac:dyDescent="0.4">
      <c r="A412" s="2">
        <v>411</v>
      </c>
      <c r="B412" s="2" t="s">
        <v>1723</v>
      </c>
      <c r="C412" s="2" t="str">
        <f>"981-3632"</f>
        <v>981-3632</v>
      </c>
      <c r="D412" s="2" t="s">
        <v>1183</v>
      </c>
      <c r="E412" s="2" t="str">
        <f>"022-725-3085  "</f>
        <v xml:space="preserve">022-725-3085  </v>
      </c>
      <c r="F412" s="2" t="s">
        <v>9</v>
      </c>
      <c r="G412" s="2" t="s">
        <v>1129</v>
      </c>
    </row>
    <row r="413" spans="1:7" ht="37.5" x14ac:dyDescent="0.4">
      <c r="A413" s="2">
        <v>412</v>
      </c>
      <c r="B413" s="2" t="s">
        <v>1724</v>
      </c>
      <c r="C413" s="2" t="str">
        <f>"981-3632"</f>
        <v>981-3632</v>
      </c>
      <c r="D413" s="2" t="s">
        <v>1725</v>
      </c>
      <c r="E413" s="2" t="str">
        <f>"022-346-6170  "</f>
        <v xml:space="preserve">022-346-6170  </v>
      </c>
      <c r="F413" s="2" t="s">
        <v>9</v>
      </c>
      <c r="G413" s="2" t="s">
        <v>1063</v>
      </c>
    </row>
    <row r="414" spans="1:7" ht="37.5" x14ac:dyDescent="0.4">
      <c r="A414" s="2">
        <v>413</v>
      </c>
      <c r="B414" s="2" t="s">
        <v>1722</v>
      </c>
      <c r="C414" s="2" t="str">
        <f>"981-3621"</f>
        <v>981-3621</v>
      </c>
      <c r="D414" s="2" t="s">
        <v>1715</v>
      </c>
      <c r="E414" s="2" t="str">
        <f>"022-345-2637  "</f>
        <v xml:space="preserve">022-345-2637  </v>
      </c>
      <c r="F414" s="2" t="s">
        <v>9</v>
      </c>
      <c r="G414" s="2" t="s">
        <v>1129</v>
      </c>
    </row>
    <row r="415" spans="1:7" ht="37.5" x14ac:dyDescent="0.4">
      <c r="A415" s="2">
        <v>414</v>
      </c>
      <c r="B415" s="2" t="s">
        <v>834</v>
      </c>
      <c r="C415" s="2" t="str">
        <f>"981-3621"</f>
        <v>981-3621</v>
      </c>
      <c r="D415" s="2" t="str">
        <f>"黒川郡大和町吉岡字館下　２２－５"</f>
        <v>黒川郡大和町吉岡字館下　２２－５</v>
      </c>
      <c r="E415" s="2" t="str">
        <f>"022-345-0738  "</f>
        <v xml:space="preserve">022-345-0738  </v>
      </c>
      <c r="F415" s="2" t="s">
        <v>6</v>
      </c>
      <c r="G415" s="2" t="s">
        <v>79</v>
      </c>
    </row>
    <row r="416" spans="1:7" ht="37.5" x14ac:dyDescent="0.4">
      <c r="A416" s="2">
        <v>415</v>
      </c>
      <c r="B416" s="2" t="s">
        <v>1721</v>
      </c>
      <c r="C416" s="2" t="str">
        <f>"981-3621"</f>
        <v>981-3621</v>
      </c>
      <c r="D416" s="2" t="str">
        <f>"黒川郡大和町吉岡字館下45-3"</f>
        <v>黒川郡大和町吉岡字館下45-3</v>
      </c>
      <c r="E416" s="2" t="str">
        <f>"022-725-7117  "</f>
        <v xml:space="preserve">022-725-7117  </v>
      </c>
      <c r="F416" s="2" t="s">
        <v>9</v>
      </c>
      <c r="G416" s="2" t="s">
        <v>1063</v>
      </c>
    </row>
    <row r="417" spans="1:7" ht="37.5" x14ac:dyDescent="0.4">
      <c r="A417" s="2">
        <v>416</v>
      </c>
      <c r="B417" s="2" t="s">
        <v>844</v>
      </c>
      <c r="C417" s="2" t="str">
        <f>"981-3621"</f>
        <v>981-3621</v>
      </c>
      <c r="D417" s="2" t="s">
        <v>845</v>
      </c>
      <c r="E417" s="2" t="str">
        <f>"022-345-2630  "</f>
        <v xml:space="preserve">022-345-2630  </v>
      </c>
      <c r="F417" s="2" t="s">
        <v>6</v>
      </c>
      <c r="G417" s="2" t="s">
        <v>61</v>
      </c>
    </row>
    <row r="418" spans="1:7" ht="37.5" x14ac:dyDescent="0.4">
      <c r="A418" s="2">
        <v>417</v>
      </c>
      <c r="B418" s="2" t="s">
        <v>1711</v>
      </c>
      <c r="C418" s="2" t="str">
        <f>"981-3621"</f>
        <v>981-3621</v>
      </c>
      <c r="D418" s="2" t="s">
        <v>1712</v>
      </c>
      <c r="E418" s="2" t="str">
        <f>"022-345-2204  "</f>
        <v xml:space="preserve">022-345-2204  </v>
      </c>
      <c r="F418" s="2" t="s">
        <v>9</v>
      </c>
      <c r="G418" s="2" t="s">
        <v>1063</v>
      </c>
    </row>
    <row r="419" spans="1:7" ht="37.5" x14ac:dyDescent="0.4">
      <c r="A419" s="2">
        <v>418</v>
      </c>
      <c r="B419" s="2" t="s">
        <v>1042</v>
      </c>
      <c r="C419" s="2" t="str">
        <f>"981-3621"</f>
        <v>981-3621</v>
      </c>
      <c r="D419" s="2" t="s">
        <v>1043</v>
      </c>
      <c r="E419" s="2" t="str">
        <f>"022-345-3555  "</f>
        <v xml:space="preserve">022-345-3555  </v>
      </c>
      <c r="F419" s="2" t="s">
        <v>10</v>
      </c>
      <c r="G419" s="2" t="s">
        <v>966</v>
      </c>
    </row>
    <row r="420" spans="1:7" ht="37.5" x14ac:dyDescent="0.4">
      <c r="A420" s="2">
        <v>419</v>
      </c>
      <c r="B420" s="2" t="s">
        <v>1718</v>
      </c>
      <c r="C420" s="2" t="str">
        <f>"981-3621"</f>
        <v>981-3621</v>
      </c>
      <c r="D420" s="2" t="str">
        <f>"黒川郡大和町吉岡字上道下　４０－１"</f>
        <v>黒川郡大和町吉岡字上道下　４０－１</v>
      </c>
      <c r="E420" s="2" t="str">
        <f>"022-344-1072  "</f>
        <v xml:space="preserve">022-344-1072  </v>
      </c>
      <c r="F420" s="2" t="s">
        <v>9</v>
      </c>
      <c r="G420" s="2" t="s">
        <v>1063</v>
      </c>
    </row>
    <row r="421" spans="1:7" ht="37.5" x14ac:dyDescent="0.4">
      <c r="A421" s="2">
        <v>420</v>
      </c>
      <c r="B421" s="2" t="s">
        <v>838</v>
      </c>
      <c r="C421" s="2" t="str">
        <f>"981-3621"</f>
        <v>981-3621</v>
      </c>
      <c r="D421" s="2" t="str">
        <f>"黒川郡大和町吉岡字上道下４０－１"</f>
        <v>黒川郡大和町吉岡字上道下４０－１</v>
      </c>
      <c r="E421" s="2" t="str">
        <f>"022-345-3693  "</f>
        <v xml:space="preserve">022-345-3693  </v>
      </c>
      <c r="F421" s="2" t="s">
        <v>6</v>
      </c>
      <c r="G421" s="2" t="s">
        <v>84</v>
      </c>
    </row>
    <row r="422" spans="1:7" ht="93.75" x14ac:dyDescent="0.4">
      <c r="A422" s="2">
        <v>421</v>
      </c>
      <c r="B422" s="2" t="s">
        <v>828</v>
      </c>
      <c r="C422" s="2" t="str">
        <f>"981-3682"</f>
        <v>981-3682</v>
      </c>
      <c r="D422" s="2" t="s">
        <v>829</v>
      </c>
      <c r="E422" s="2" t="str">
        <f>"022-345-3101  "</f>
        <v xml:space="preserve">022-345-3101  </v>
      </c>
      <c r="F422" s="2" t="s">
        <v>6</v>
      </c>
      <c r="G422" s="2" t="s">
        <v>830</v>
      </c>
    </row>
    <row r="423" spans="1:7" ht="37.5" x14ac:dyDescent="0.4">
      <c r="A423" s="2">
        <v>422</v>
      </c>
      <c r="B423" s="2" t="s">
        <v>1865</v>
      </c>
      <c r="C423" s="2" t="str">
        <f>"981-3682"</f>
        <v>981-3682</v>
      </c>
      <c r="D423" s="2" t="s">
        <v>1866</v>
      </c>
      <c r="E423" s="2" t="str">
        <f>"022-347-1677  "</f>
        <v xml:space="preserve">022-347-1677  </v>
      </c>
      <c r="F423" s="2" t="s">
        <v>11</v>
      </c>
      <c r="G423" s="2" t="s">
        <v>1151</v>
      </c>
    </row>
    <row r="424" spans="1:7" ht="37.5" x14ac:dyDescent="0.4">
      <c r="A424" s="2">
        <v>423</v>
      </c>
      <c r="B424" s="2" t="s">
        <v>1713</v>
      </c>
      <c r="C424" s="2" t="str">
        <f>"981-3627"</f>
        <v>981-3627</v>
      </c>
      <c r="D424" s="2" t="s">
        <v>1714</v>
      </c>
      <c r="E424" s="2" t="str">
        <f>"022-347-1688  "</f>
        <v xml:space="preserve">022-347-1688  </v>
      </c>
      <c r="F424" s="2" t="s">
        <v>9</v>
      </c>
      <c r="G424" s="2" t="s">
        <v>1063</v>
      </c>
    </row>
    <row r="425" spans="1:7" ht="37.5" x14ac:dyDescent="0.4">
      <c r="A425" s="2">
        <v>424</v>
      </c>
      <c r="B425" s="2" t="s">
        <v>1709</v>
      </c>
      <c r="C425" s="2" t="str">
        <f>"981-3627"</f>
        <v>981-3627</v>
      </c>
      <c r="D425" s="2" t="s">
        <v>1710</v>
      </c>
      <c r="E425" s="2" t="str">
        <f>"022-345-5390  "</f>
        <v xml:space="preserve">022-345-5390  </v>
      </c>
      <c r="F425" s="2" t="s">
        <v>9</v>
      </c>
      <c r="G425" s="2" t="s">
        <v>1063</v>
      </c>
    </row>
    <row r="426" spans="1:7" ht="37.5" x14ac:dyDescent="0.4">
      <c r="A426" s="2">
        <v>425</v>
      </c>
      <c r="B426" s="2" t="s">
        <v>833</v>
      </c>
      <c r="C426" s="2" t="str">
        <f>"981-3627"</f>
        <v>981-3627</v>
      </c>
      <c r="D426" s="2" t="str">
        <f>"黒川郡大和町吉岡東2-8-10"</f>
        <v>黒川郡大和町吉岡東2-8-10</v>
      </c>
      <c r="E426" s="2" t="str">
        <f>"022-347-1682  "</f>
        <v xml:space="preserve">022-347-1682  </v>
      </c>
      <c r="F426" s="2" t="s">
        <v>6</v>
      </c>
      <c r="G426" s="2" t="s">
        <v>48</v>
      </c>
    </row>
    <row r="427" spans="1:7" ht="37.5" x14ac:dyDescent="0.4">
      <c r="A427" s="2">
        <v>426</v>
      </c>
      <c r="B427" s="2" t="s">
        <v>216</v>
      </c>
      <c r="C427" s="2" t="str">
        <f>"981-3625"</f>
        <v>981-3625</v>
      </c>
      <c r="D427" s="2" t="s">
        <v>217</v>
      </c>
      <c r="E427" s="2" t="str">
        <f>"022-344-4607  "</f>
        <v xml:space="preserve">022-344-4607  </v>
      </c>
      <c r="F427" s="2" t="s">
        <v>6</v>
      </c>
      <c r="G427" s="2" t="s">
        <v>831</v>
      </c>
    </row>
    <row r="428" spans="1:7" ht="37.5" x14ac:dyDescent="0.4">
      <c r="A428" s="2">
        <v>427</v>
      </c>
      <c r="B428" s="2" t="s">
        <v>1728</v>
      </c>
      <c r="C428" s="2" t="str">
        <f>"981-3628"</f>
        <v>981-3628</v>
      </c>
      <c r="D428" s="2" t="str">
        <f>"黒川郡大和町杜のまち１－１６"</f>
        <v>黒川郡大和町杜のまち１－１６</v>
      </c>
      <c r="E428" s="2" t="str">
        <f>"022-342-1886  "</f>
        <v xml:space="preserve">022-342-1886  </v>
      </c>
      <c r="F428" s="2" t="s">
        <v>9</v>
      </c>
      <c r="G428" s="2" t="s">
        <v>1063</v>
      </c>
    </row>
    <row r="429" spans="1:7" ht="37.5" x14ac:dyDescent="0.4">
      <c r="A429" s="2">
        <v>428</v>
      </c>
      <c r="B429" s="2" t="s">
        <v>1045</v>
      </c>
      <c r="C429" s="2" t="str">
        <f>"981-3628"</f>
        <v>981-3628</v>
      </c>
      <c r="D429" s="2" t="str">
        <f>"黒川郡大和町杜の丘一丁目１４－１"</f>
        <v>黒川郡大和町杜の丘一丁目１４－１</v>
      </c>
      <c r="E429" s="2" t="str">
        <f>"022-355-5464  "</f>
        <v xml:space="preserve">022-355-5464  </v>
      </c>
      <c r="F429" s="2" t="s">
        <v>6</v>
      </c>
      <c r="G429" s="2" t="s">
        <v>966</v>
      </c>
    </row>
    <row r="430" spans="1:7" ht="37.5" x14ac:dyDescent="0.4">
      <c r="A430" s="2">
        <v>429</v>
      </c>
      <c r="B430" s="2" t="s">
        <v>1029</v>
      </c>
      <c r="C430" s="2" t="str">
        <f>"989-1606"</f>
        <v>989-1606</v>
      </c>
      <c r="D430" s="2" t="str">
        <f>"柴田郡柴田町上大原２０－６"</f>
        <v>柴田郡柴田町上大原２０－６</v>
      </c>
      <c r="E430" s="2" t="str">
        <f>"0224-57-1711  "</f>
        <v xml:space="preserve">0224-57-1711  </v>
      </c>
      <c r="F430" s="2" t="s">
        <v>6</v>
      </c>
      <c r="G430" s="2" t="s">
        <v>10</v>
      </c>
    </row>
    <row r="431" spans="1:7" ht="37.5" x14ac:dyDescent="0.4">
      <c r="A431" s="2">
        <v>430</v>
      </c>
      <c r="B431" s="2" t="s">
        <v>1027</v>
      </c>
      <c r="C431" s="2" t="str">
        <f>"989-1622"</f>
        <v>989-1622</v>
      </c>
      <c r="D431" s="2" t="s">
        <v>1028</v>
      </c>
      <c r="E431" s="2" t="str">
        <f>"0224-55-5493  "</f>
        <v xml:space="preserve">0224-55-5493  </v>
      </c>
      <c r="F431" s="2" t="s">
        <v>6</v>
      </c>
      <c r="G431" s="2" t="s">
        <v>10</v>
      </c>
    </row>
    <row r="432" spans="1:7" ht="37.5" x14ac:dyDescent="0.4">
      <c r="A432" s="2">
        <v>431</v>
      </c>
      <c r="B432" s="2" t="s">
        <v>1636</v>
      </c>
      <c r="C432" s="2" t="str">
        <f>"989-1622"</f>
        <v>989-1622</v>
      </c>
      <c r="D432" s="2" t="str">
        <f>"柴田郡柴田町西船迫２－２－１３"</f>
        <v>柴田郡柴田町西船迫２－２－１３</v>
      </c>
      <c r="E432" s="2" t="str">
        <f>"0224-55-4193  "</f>
        <v xml:space="preserve">0224-55-4193  </v>
      </c>
      <c r="F432" s="2" t="s">
        <v>9</v>
      </c>
      <c r="G432" s="2" t="s">
        <v>1063</v>
      </c>
    </row>
    <row r="433" spans="1:7" ht="37.5" x14ac:dyDescent="0.4">
      <c r="A433" s="2">
        <v>432</v>
      </c>
      <c r="B433" s="2" t="s">
        <v>1637</v>
      </c>
      <c r="C433" s="2" t="str">
        <f>"989-1622"</f>
        <v>989-1622</v>
      </c>
      <c r="D433" s="2" t="str">
        <f>"柴田郡柴田町西船迫２－６－３"</f>
        <v>柴田郡柴田町西船迫２－６－３</v>
      </c>
      <c r="E433" s="2" t="str">
        <f>"0224-59-2777  "</f>
        <v xml:space="preserve">0224-59-2777  </v>
      </c>
      <c r="F433" s="2" t="s">
        <v>9</v>
      </c>
      <c r="G433" s="2" t="s">
        <v>1063</v>
      </c>
    </row>
    <row r="434" spans="1:7" ht="37.5" x14ac:dyDescent="0.4">
      <c r="A434" s="2">
        <v>433</v>
      </c>
      <c r="B434" s="2" t="s">
        <v>742</v>
      </c>
      <c r="C434" s="2" t="str">
        <f>"989-1622"</f>
        <v>989-1622</v>
      </c>
      <c r="D434" s="2" t="s">
        <v>743</v>
      </c>
      <c r="E434" s="2" t="str">
        <f>"0224-57-1231  "</f>
        <v xml:space="preserve">0224-57-1231  </v>
      </c>
      <c r="F434" s="2" t="s">
        <v>6</v>
      </c>
      <c r="G434" s="2" t="s">
        <v>487</v>
      </c>
    </row>
    <row r="435" spans="1:7" ht="37.5" x14ac:dyDescent="0.4">
      <c r="A435" s="2">
        <v>434</v>
      </c>
      <c r="B435" s="2" t="s">
        <v>1650</v>
      </c>
      <c r="C435" s="2" t="str">
        <f>"989-1622"</f>
        <v>989-1622</v>
      </c>
      <c r="D435" s="2" t="s">
        <v>1651</v>
      </c>
      <c r="E435" s="2" t="str">
        <f>"0224-86-3923  "</f>
        <v xml:space="preserve">0224-86-3923  </v>
      </c>
      <c r="F435" s="2" t="s">
        <v>9</v>
      </c>
      <c r="G435" s="2" t="s">
        <v>1063</v>
      </c>
    </row>
    <row r="436" spans="1:7" ht="37.5" x14ac:dyDescent="0.4">
      <c r="A436" s="2">
        <v>435</v>
      </c>
      <c r="B436" s="2" t="s">
        <v>719</v>
      </c>
      <c r="C436" s="2" t="str">
        <f>"989-1607"</f>
        <v>989-1607</v>
      </c>
      <c r="D436" s="2" t="str">
        <f>"柴田郡柴田町船岡新栄　４－４－１"</f>
        <v>柴田郡柴田町船岡新栄　４－４－１</v>
      </c>
      <c r="E436" s="2" t="str">
        <f>"0224-57-2310  "</f>
        <v xml:space="preserve">0224-57-2310  </v>
      </c>
      <c r="F436" s="2" t="s">
        <v>6</v>
      </c>
      <c r="G436" s="2" t="s">
        <v>720</v>
      </c>
    </row>
    <row r="437" spans="1:7" ht="37.5" x14ac:dyDescent="0.4">
      <c r="A437" s="2">
        <v>436</v>
      </c>
      <c r="B437" s="2" t="s">
        <v>1630</v>
      </c>
      <c r="C437" s="2" t="str">
        <f>"989-1607"</f>
        <v>989-1607</v>
      </c>
      <c r="D437" s="2" t="str">
        <f>"柴田郡柴田町船岡新栄３－４２－２８"</f>
        <v>柴田郡柴田町船岡新栄３－４２－２８</v>
      </c>
      <c r="E437" s="2" t="str">
        <f>"0224-54-2889  "</f>
        <v xml:space="preserve">0224-54-2889  </v>
      </c>
      <c r="F437" s="2" t="s">
        <v>9</v>
      </c>
      <c r="G437" s="2" t="s">
        <v>1063</v>
      </c>
    </row>
    <row r="438" spans="1:7" ht="37.5" x14ac:dyDescent="0.4">
      <c r="A438" s="2">
        <v>437</v>
      </c>
      <c r="B438" s="2" t="s">
        <v>748</v>
      </c>
      <c r="C438" s="2" t="str">
        <f>"989-1607"</f>
        <v>989-1607</v>
      </c>
      <c r="D438" s="2" t="str">
        <f>"柴田郡柴田町船岡新栄３－４３－９"</f>
        <v>柴田郡柴田町船岡新栄３－４３－９</v>
      </c>
      <c r="E438" s="2" t="str">
        <f>"0224-86-5390  "</f>
        <v xml:space="preserve">0224-86-5390  </v>
      </c>
      <c r="F438" s="2" t="s">
        <v>6</v>
      </c>
      <c r="G438" s="2" t="s">
        <v>749</v>
      </c>
    </row>
    <row r="439" spans="1:7" ht="37.5" x14ac:dyDescent="0.4">
      <c r="A439" s="2">
        <v>438</v>
      </c>
      <c r="B439" s="2" t="s">
        <v>1646</v>
      </c>
      <c r="C439" s="2" t="str">
        <f>"989-1607"</f>
        <v>989-1607</v>
      </c>
      <c r="D439" s="2" t="str">
        <f>"柴田郡柴田町船岡新栄３－４３－９"</f>
        <v>柴田郡柴田町船岡新栄３－４３－９</v>
      </c>
      <c r="E439" s="2" t="str">
        <f>"0224-86-5191  "</f>
        <v xml:space="preserve">0224-86-5191  </v>
      </c>
      <c r="F439" s="2" t="s">
        <v>9</v>
      </c>
      <c r="G439" s="2" t="s">
        <v>1063</v>
      </c>
    </row>
    <row r="440" spans="1:7" ht="37.5" x14ac:dyDescent="0.4">
      <c r="A440" s="2">
        <v>439</v>
      </c>
      <c r="B440" s="2" t="s">
        <v>1611</v>
      </c>
      <c r="C440" s="2" t="str">
        <f>"989-1607"</f>
        <v>989-1607</v>
      </c>
      <c r="D440" s="2" t="str">
        <f>"柴田郡柴田町船岡新栄4-3-15"</f>
        <v>柴田郡柴田町船岡新栄4-3-15</v>
      </c>
      <c r="E440" s="2" t="str">
        <f>"0224-58-1065  "</f>
        <v xml:space="preserve">0224-58-1065  </v>
      </c>
      <c r="F440" s="2" t="s">
        <v>9</v>
      </c>
      <c r="G440" s="2" t="s">
        <v>1063</v>
      </c>
    </row>
    <row r="441" spans="1:7" ht="37.5" x14ac:dyDescent="0.4">
      <c r="A441" s="2">
        <v>440</v>
      </c>
      <c r="B441" s="2" t="s">
        <v>1857</v>
      </c>
      <c r="C441" s="2" t="str">
        <f>"989-1607"</f>
        <v>989-1607</v>
      </c>
      <c r="D441" s="2" t="str">
        <f>"柴田郡柴田町船岡新栄４－４－１"</f>
        <v>柴田郡柴田町船岡新栄４－４－１</v>
      </c>
      <c r="E441" s="2" t="str">
        <f>"0224-88-3546  "</f>
        <v xml:space="preserve">0224-88-3546  </v>
      </c>
      <c r="F441" s="2" t="s">
        <v>11</v>
      </c>
      <c r="G441" s="2" t="s">
        <v>1151</v>
      </c>
    </row>
    <row r="442" spans="1:7" ht="37.5" x14ac:dyDescent="0.4">
      <c r="A442" s="2">
        <v>441</v>
      </c>
      <c r="B442" s="2" t="s">
        <v>1607</v>
      </c>
      <c r="C442" s="2" t="str">
        <f>"989-1601"</f>
        <v>989-1601</v>
      </c>
      <c r="D442" s="2" t="str">
        <f>"柴田郡柴田町船岡中央　２－１２－２２"</f>
        <v>柴田郡柴田町船岡中央　２－１２－２２</v>
      </c>
      <c r="E442" s="2" t="str">
        <f>"0224-54-2201  "</f>
        <v xml:space="preserve">0224-54-2201  </v>
      </c>
      <c r="F442" s="2" t="s">
        <v>9</v>
      </c>
      <c r="G442" s="2" t="s">
        <v>1063</v>
      </c>
    </row>
    <row r="443" spans="1:7" ht="37.5" x14ac:dyDescent="0.4">
      <c r="A443" s="2">
        <v>442</v>
      </c>
      <c r="B443" s="2" t="s">
        <v>1612</v>
      </c>
      <c r="C443" s="2" t="str">
        <f>"989-1601"</f>
        <v>989-1601</v>
      </c>
      <c r="D443" s="2" t="s">
        <v>1613</v>
      </c>
      <c r="E443" s="2" t="str">
        <f>"0224-57-1322  "</f>
        <v xml:space="preserve">0224-57-1322  </v>
      </c>
      <c r="F443" s="2" t="s">
        <v>9</v>
      </c>
      <c r="G443" s="2" t="s">
        <v>1063</v>
      </c>
    </row>
    <row r="444" spans="1:7" ht="37.5" x14ac:dyDescent="0.4">
      <c r="A444" s="2">
        <v>443</v>
      </c>
      <c r="B444" s="2" t="s">
        <v>713</v>
      </c>
      <c r="C444" s="2" t="str">
        <f>"989-1601"</f>
        <v>989-1601</v>
      </c>
      <c r="D444" s="2" t="s">
        <v>714</v>
      </c>
      <c r="E444" s="2" t="str">
        <f>"0224-54-1034  "</f>
        <v xml:space="preserve">0224-54-1034  </v>
      </c>
      <c r="F444" s="2" t="s">
        <v>6</v>
      </c>
      <c r="G444" s="2" t="s">
        <v>715</v>
      </c>
    </row>
    <row r="445" spans="1:7" ht="37.5" x14ac:dyDescent="0.4">
      <c r="A445" s="2">
        <v>444</v>
      </c>
      <c r="B445" s="2" t="s">
        <v>1610</v>
      </c>
      <c r="C445" s="2" t="str">
        <f>"989-1601"</f>
        <v>989-1601</v>
      </c>
      <c r="D445" s="2" t="str">
        <f>"柴田郡柴田町船岡中央　２－９－２１"</f>
        <v>柴田郡柴田町船岡中央　２－９－２１</v>
      </c>
      <c r="E445" s="2" t="str">
        <f>"0224-54-3837  "</f>
        <v xml:space="preserve">0224-54-3837  </v>
      </c>
      <c r="F445" s="2" t="s">
        <v>9</v>
      </c>
      <c r="G445" s="2" t="s">
        <v>1063</v>
      </c>
    </row>
    <row r="446" spans="1:7" ht="37.5" x14ac:dyDescent="0.4">
      <c r="A446" s="2">
        <v>445</v>
      </c>
      <c r="B446" s="2" t="s">
        <v>1614</v>
      </c>
      <c r="C446" s="2" t="str">
        <f>"989-1601"</f>
        <v>989-1601</v>
      </c>
      <c r="D446" s="2" t="str">
        <f>"柴田郡柴田町船岡中央　３－４３１－３"</f>
        <v>柴田郡柴田町船岡中央　３－４３１－３</v>
      </c>
      <c r="E446" s="2" t="str">
        <f>"0224-58-1189  "</f>
        <v xml:space="preserve">0224-58-1189  </v>
      </c>
      <c r="F446" s="2" t="s">
        <v>9</v>
      </c>
      <c r="G446" s="2" t="s">
        <v>1063</v>
      </c>
    </row>
    <row r="447" spans="1:7" ht="56.25" x14ac:dyDescent="0.4">
      <c r="A447" s="2">
        <v>446</v>
      </c>
      <c r="B447" s="2" t="s">
        <v>1853</v>
      </c>
      <c r="C447" s="2" t="str">
        <f>"989-1601"</f>
        <v>989-1601</v>
      </c>
      <c r="D447" s="2" t="s">
        <v>1854</v>
      </c>
      <c r="E447" s="2" t="str">
        <f>"0224-87-8788  "</f>
        <v xml:space="preserve">0224-87-8788  </v>
      </c>
      <c r="F447" s="2" t="s">
        <v>11</v>
      </c>
      <c r="G447" s="2" t="s">
        <v>1151</v>
      </c>
    </row>
    <row r="448" spans="1:7" ht="37.5" x14ac:dyDescent="0.4">
      <c r="A448" s="2">
        <v>447</v>
      </c>
      <c r="B448" s="2" t="s">
        <v>1644</v>
      </c>
      <c r="C448" s="2" t="str">
        <f>"989-1601"</f>
        <v>989-1601</v>
      </c>
      <c r="D448" s="2" t="str">
        <f>"柴田郡柴田町船岡中央三丁目１８－１０"</f>
        <v>柴田郡柴田町船岡中央三丁目１８－１０</v>
      </c>
      <c r="E448" s="2" t="str">
        <f>"0224-54-2349  "</f>
        <v xml:space="preserve">0224-54-2349  </v>
      </c>
      <c r="F448" s="2" t="s">
        <v>9</v>
      </c>
      <c r="G448" s="2"/>
    </row>
    <row r="449" spans="1:7" ht="37.5" x14ac:dyDescent="0.4">
      <c r="A449" s="2">
        <v>448</v>
      </c>
      <c r="B449" s="2" t="s">
        <v>707</v>
      </c>
      <c r="C449" s="2" t="str">
        <f>"989-1604"</f>
        <v>989-1604</v>
      </c>
      <c r="D449" s="2" t="s">
        <v>708</v>
      </c>
      <c r="E449" s="2" t="str">
        <f>"0224-54-1472  "</f>
        <v xml:space="preserve">0224-54-1472  </v>
      </c>
      <c r="F449" s="2" t="s">
        <v>6</v>
      </c>
      <c r="G449" s="2" t="s">
        <v>48</v>
      </c>
    </row>
    <row r="450" spans="1:7" ht="37.5" x14ac:dyDescent="0.4">
      <c r="A450" s="2">
        <v>449</v>
      </c>
      <c r="B450" s="2" t="s">
        <v>1326</v>
      </c>
      <c r="C450" s="2" t="str">
        <f>"989-1604"</f>
        <v>989-1604</v>
      </c>
      <c r="D450" s="2" t="str">
        <f>"柴田郡柴田町船岡東２－７－１５"</f>
        <v>柴田郡柴田町船岡東２－７－１５</v>
      </c>
      <c r="E450" s="2" t="str">
        <f>"0224-87-8430  "</f>
        <v xml:space="preserve">0224-87-8430  </v>
      </c>
      <c r="F450" s="2" t="s">
        <v>9</v>
      </c>
      <c r="G450" s="2" t="s">
        <v>1063</v>
      </c>
    </row>
    <row r="451" spans="1:7" ht="37.5" x14ac:dyDescent="0.4">
      <c r="A451" s="2">
        <v>450</v>
      </c>
      <c r="B451" s="2" t="s">
        <v>738</v>
      </c>
      <c r="C451" s="2" t="str">
        <f>"989-1758"</f>
        <v>989-1758</v>
      </c>
      <c r="D451" s="2" t="str">
        <f>"柴田郡柴田町槻木駅西1-4-7"</f>
        <v>柴田郡柴田町槻木駅西1-4-7</v>
      </c>
      <c r="E451" s="2" t="str">
        <f>"0224-86-3329  "</f>
        <v xml:space="preserve">0224-86-3329  </v>
      </c>
      <c r="F451" s="2" t="s">
        <v>6</v>
      </c>
      <c r="G451" s="2" t="s">
        <v>646</v>
      </c>
    </row>
    <row r="452" spans="1:7" ht="37.5" x14ac:dyDescent="0.4">
      <c r="A452" s="2">
        <v>451</v>
      </c>
      <c r="B452" s="2" t="s">
        <v>1634</v>
      </c>
      <c r="C452" s="2" t="str">
        <f>"989-1758"</f>
        <v>989-1758</v>
      </c>
      <c r="D452" s="2" t="str">
        <f>"柴田郡柴田町槻木駅西１丁目４－１１"</f>
        <v>柴田郡柴田町槻木駅西１丁目４－１１</v>
      </c>
      <c r="E452" s="2" t="str">
        <f>"0224-58-7410  "</f>
        <v xml:space="preserve">0224-58-7410  </v>
      </c>
      <c r="F452" s="2" t="s">
        <v>9</v>
      </c>
      <c r="G452" s="2" t="s">
        <v>1063</v>
      </c>
    </row>
    <row r="453" spans="1:7" ht="37.5" x14ac:dyDescent="0.4">
      <c r="A453" s="2">
        <v>452</v>
      </c>
      <c r="B453" s="2" t="s">
        <v>1030</v>
      </c>
      <c r="C453" s="2" t="str">
        <f>"989-1752"</f>
        <v>989-1752</v>
      </c>
      <c r="D453" s="2" t="s">
        <v>1031</v>
      </c>
      <c r="E453" s="2" t="str">
        <f>"0224-56-1026  "</f>
        <v xml:space="preserve">0224-56-1026  </v>
      </c>
      <c r="F453" s="2" t="s">
        <v>6</v>
      </c>
      <c r="G453" s="2" t="s">
        <v>966</v>
      </c>
    </row>
    <row r="454" spans="1:7" ht="37.5" x14ac:dyDescent="0.4">
      <c r="A454" s="2">
        <v>453</v>
      </c>
      <c r="B454" s="2" t="s">
        <v>704</v>
      </c>
      <c r="C454" s="2" t="str">
        <f>"989-1752"</f>
        <v>989-1752</v>
      </c>
      <c r="D454" s="2" t="s">
        <v>705</v>
      </c>
      <c r="E454" s="2" t="str">
        <f>"0224-56-1451  "</f>
        <v xml:space="preserve">0224-56-1451  </v>
      </c>
      <c r="F454" s="2" t="s">
        <v>6</v>
      </c>
      <c r="G454" s="2" t="s">
        <v>706</v>
      </c>
    </row>
    <row r="455" spans="1:7" ht="37.5" x14ac:dyDescent="0.4">
      <c r="A455" s="2">
        <v>454</v>
      </c>
      <c r="B455" s="2" t="s">
        <v>1629</v>
      </c>
      <c r="C455" s="2" t="str">
        <f>"989-1752"</f>
        <v>989-1752</v>
      </c>
      <c r="D455" s="2" t="str">
        <f>"柴田郡柴田町槻木下町２－８－１"</f>
        <v>柴田郡柴田町槻木下町２－８－１</v>
      </c>
      <c r="E455" s="2" t="str">
        <f>"0224-56-3715  "</f>
        <v xml:space="preserve">0224-56-3715  </v>
      </c>
      <c r="F455" s="2" t="s">
        <v>9</v>
      </c>
      <c r="G455" s="2" t="s">
        <v>1063</v>
      </c>
    </row>
    <row r="456" spans="1:7" ht="37.5" x14ac:dyDescent="0.4">
      <c r="A456" s="2">
        <v>455</v>
      </c>
      <c r="B456" s="2" t="s">
        <v>711</v>
      </c>
      <c r="C456" s="2" t="str">
        <f>"989-1753"</f>
        <v>989-1753</v>
      </c>
      <c r="D456" s="2" t="str">
        <f>"柴田郡柴田町槻木上町　３－１－１０"</f>
        <v>柴田郡柴田町槻木上町　３－１－１０</v>
      </c>
      <c r="E456" s="2" t="str">
        <f>"0224-56-1441  "</f>
        <v xml:space="preserve">0224-56-1441  </v>
      </c>
      <c r="F456" s="2" t="s">
        <v>6</v>
      </c>
      <c r="G456" s="2" t="s">
        <v>712</v>
      </c>
    </row>
    <row r="457" spans="1:7" ht="37.5" x14ac:dyDescent="0.4">
      <c r="A457" s="2">
        <v>456</v>
      </c>
      <c r="B457" s="2" t="s">
        <v>1620</v>
      </c>
      <c r="C457" s="2" t="str">
        <f>"989-1753"</f>
        <v>989-1753</v>
      </c>
      <c r="D457" s="2" t="str">
        <f>"柴田郡柴田町槻木上町　３－６－２６"</f>
        <v>柴田郡柴田町槻木上町　３－６－２６</v>
      </c>
      <c r="E457" s="2" t="str">
        <f>"0224-58-7380  "</f>
        <v xml:space="preserve">0224-58-7380  </v>
      </c>
      <c r="F457" s="2" t="s">
        <v>9</v>
      </c>
      <c r="G457" s="2" t="s">
        <v>1063</v>
      </c>
    </row>
    <row r="458" spans="1:7" ht="37.5" x14ac:dyDescent="0.4">
      <c r="A458" s="2">
        <v>457</v>
      </c>
      <c r="B458" s="2" t="s">
        <v>1628</v>
      </c>
      <c r="C458" s="2" t="str">
        <f>"989-1753"</f>
        <v>989-1753</v>
      </c>
      <c r="D458" s="2" t="str">
        <f>"柴田郡柴田町槻木上町１－１－５５"</f>
        <v>柴田郡柴田町槻木上町１－１－５５</v>
      </c>
      <c r="E458" s="2" t="str">
        <f>"0224-56-3169  "</f>
        <v xml:space="preserve">0224-56-3169  </v>
      </c>
      <c r="F458" s="2" t="s">
        <v>9</v>
      </c>
      <c r="G458" s="2" t="s">
        <v>1063</v>
      </c>
    </row>
    <row r="459" spans="1:7" ht="37.5" x14ac:dyDescent="0.4">
      <c r="A459" s="2">
        <v>458</v>
      </c>
      <c r="B459" s="2" t="s">
        <v>1635</v>
      </c>
      <c r="C459" s="2" t="str">
        <f>"989-1753"</f>
        <v>989-1753</v>
      </c>
      <c r="D459" s="2" t="str">
        <f>"柴田郡柴田町槻木上町１－８１－１"</f>
        <v>柴田郡柴田町槻木上町１－８１－１</v>
      </c>
      <c r="E459" s="2" t="str">
        <f>"0224-86-4189  "</f>
        <v xml:space="preserve">0224-86-4189  </v>
      </c>
      <c r="F459" s="2" t="s">
        <v>9</v>
      </c>
      <c r="G459" s="2" t="s">
        <v>1129</v>
      </c>
    </row>
    <row r="460" spans="1:7" ht="37.5" x14ac:dyDescent="0.4">
      <c r="A460" s="2">
        <v>459</v>
      </c>
      <c r="B460" s="2" t="s">
        <v>740</v>
      </c>
      <c r="C460" s="2" t="str">
        <f>"989-1753"</f>
        <v>989-1753</v>
      </c>
      <c r="D460" s="2" t="str">
        <f>"柴田郡柴田町槻木上町１丁目１－５１"</f>
        <v>柴田郡柴田町槻木上町１丁目１－５１</v>
      </c>
      <c r="E460" s="2" t="str">
        <f>"0224-87-7561  "</f>
        <v xml:space="preserve">0224-87-7561  </v>
      </c>
      <c r="F460" s="2" t="s">
        <v>6</v>
      </c>
      <c r="G460" s="2" t="s">
        <v>79</v>
      </c>
    </row>
    <row r="461" spans="1:7" ht="37.5" x14ac:dyDescent="0.4">
      <c r="A461" s="2">
        <v>460</v>
      </c>
      <c r="B461" s="2" t="s">
        <v>1638</v>
      </c>
      <c r="C461" s="2" t="str">
        <f>"989-1753"</f>
        <v>989-1753</v>
      </c>
      <c r="D461" s="2" t="str">
        <f>"柴田郡柴田町槻木上町２丁目６－２"</f>
        <v>柴田郡柴田町槻木上町２丁目６－２</v>
      </c>
      <c r="E461" s="2" t="str">
        <f>"022-309-8870  "</f>
        <v xml:space="preserve">022-309-8870  </v>
      </c>
      <c r="F461" s="2" t="s">
        <v>9</v>
      </c>
      <c r="G461" s="2" t="s">
        <v>1063</v>
      </c>
    </row>
    <row r="462" spans="1:7" ht="37.5" x14ac:dyDescent="0.4">
      <c r="A462" s="2">
        <v>461</v>
      </c>
      <c r="B462" s="2" t="s">
        <v>746</v>
      </c>
      <c r="C462" s="2" t="str">
        <f>"989-1753"</f>
        <v>989-1753</v>
      </c>
      <c r="D462" s="2" t="s">
        <v>747</v>
      </c>
      <c r="E462" s="2" t="str">
        <f>"0224-87-8750  "</f>
        <v xml:space="preserve">0224-87-8750  </v>
      </c>
      <c r="F462" s="2" t="s">
        <v>6</v>
      </c>
      <c r="G462" s="2" t="s">
        <v>487</v>
      </c>
    </row>
    <row r="463" spans="1:7" ht="37.5" x14ac:dyDescent="0.4">
      <c r="A463" s="2">
        <v>462</v>
      </c>
      <c r="B463" s="2" t="s">
        <v>1625</v>
      </c>
      <c r="C463" s="2" t="str">
        <f>"989-1623"</f>
        <v>989-1623</v>
      </c>
      <c r="D463" s="2" t="str">
        <f>"柴田郡柴田町北船岡　１－３９－１"</f>
        <v>柴田郡柴田町北船岡　１－３９－１</v>
      </c>
      <c r="E463" s="2" t="str">
        <f>"0224-58-2670  "</f>
        <v xml:space="preserve">0224-58-2670  </v>
      </c>
      <c r="F463" s="2" t="s">
        <v>9</v>
      </c>
      <c r="G463" s="2" t="s">
        <v>1063</v>
      </c>
    </row>
    <row r="464" spans="1:7" ht="37.5" x14ac:dyDescent="0.4">
      <c r="A464" s="2">
        <v>463</v>
      </c>
      <c r="B464" s="2" t="s">
        <v>703</v>
      </c>
      <c r="C464" s="2" t="str">
        <f>"989-1623"</f>
        <v>989-1623</v>
      </c>
      <c r="D464" s="2" t="str">
        <f>"柴田郡柴田町北船岡一丁目2-1"</f>
        <v>柴田郡柴田町北船岡一丁目2-1</v>
      </c>
      <c r="E464" s="2" t="str">
        <f>"0224-54-1210  "</f>
        <v xml:space="preserve">0224-54-1210  </v>
      </c>
      <c r="F464" s="2" t="s">
        <v>6</v>
      </c>
      <c r="G464" s="2" t="s">
        <v>132</v>
      </c>
    </row>
    <row r="465" spans="1:7" ht="37.5" x14ac:dyDescent="0.4">
      <c r="A465" s="2">
        <v>464</v>
      </c>
      <c r="B465" s="2" t="s">
        <v>732</v>
      </c>
      <c r="C465" s="2" t="str">
        <f>"989-1503"</f>
        <v>989-1503</v>
      </c>
      <c r="D465" s="2" t="s">
        <v>733</v>
      </c>
      <c r="E465" s="2" t="str">
        <f>"0224-85-2333  "</f>
        <v xml:space="preserve">0224-85-2333  </v>
      </c>
      <c r="F465" s="2" t="s">
        <v>6</v>
      </c>
      <c r="G465" s="2" t="s">
        <v>734</v>
      </c>
    </row>
    <row r="466" spans="1:7" ht="37.5" x14ac:dyDescent="0.4">
      <c r="A466" s="2">
        <v>465</v>
      </c>
      <c r="B466" s="2" t="s">
        <v>1624</v>
      </c>
      <c r="C466" s="2" t="str">
        <f>"989-1501"</f>
        <v>989-1501</v>
      </c>
      <c r="D466" s="2" t="str">
        <f>"柴田郡川崎町大字前川字北原２３－１"</f>
        <v>柴田郡川崎町大字前川字北原２３－１</v>
      </c>
      <c r="E466" s="2" t="str">
        <f>"0224-84-4602  "</f>
        <v xml:space="preserve">0224-84-4602  </v>
      </c>
      <c r="F466" s="2" t="s">
        <v>9</v>
      </c>
      <c r="G466" s="2" t="s">
        <v>1063</v>
      </c>
    </row>
    <row r="467" spans="1:7" ht="37.5" x14ac:dyDescent="0.4">
      <c r="A467" s="2">
        <v>466</v>
      </c>
      <c r="B467" s="2" t="s">
        <v>700</v>
      </c>
      <c r="C467" s="2" t="str">
        <f>"989-1501"</f>
        <v>989-1501</v>
      </c>
      <c r="D467" s="2" t="s">
        <v>701</v>
      </c>
      <c r="E467" s="2" t="str">
        <f>"0224-84-2119  "</f>
        <v xml:space="preserve">0224-84-2119  </v>
      </c>
      <c r="F467" s="2" t="s">
        <v>6</v>
      </c>
      <c r="G467" s="2" t="s">
        <v>702</v>
      </c>
    </row>
    <row r="468" spans="1:7" ht="37.5" x14ac:dyDescent="0.4">
      <c r="A468" s="2">
        <v>467</v>
      </c>
      <c r="B468" s="2" t="s">
        <v>1626</v>
      </c>
      <c r="C468" s="2" t="str">
        <f>"989-1501"</f>
        <v>989-1501</v>
      </c>
      <c r="D468" s="2" t="str">
        <f>"柴田郡川崎町大字前川字北原２４－２"</f>
        <v>柴田郡川崎町大字前川字北原２４－２</v>
      </c>
      <c r="E468" s="2" t="str">
        <f>"0224-85-2070  "</f>
        <v xml:space="preserve">0224-85-2070  </v>
      </c>
      <c r="F468" s="2" t="s">
        <v>9</v>
      </c>
      <c r="G468" s="2" t="s">
        <v>1063</v>
      </c>
    </row>
    <row r="469" spans="1:7" x14ac:dyDescent="0.4">
      <c r="A469" s="2">
        <v>468</v>
      </c>
      <c r="B469" s="2" t="s">
        <v>716</v>
      </c>
      <c r="C469" s="2" t="str">
        <f>"989-1305"</f>
        <v>989-1305</v>
      </c>
      <c r="D469" s="2" t="s">
        <v>717</v>
      </c>
      <c r="E469" s="2" t="str">
        <f>"0224-83-2172  "</f>
        <v xml:space="preserve">0224-83-2172  </v>
      </c>
      <c r="F469" s="2" t="s">
        <v>6</v>
      </c>
      <c r="G469" s="2" t="s">
        <v>718</v>
      </c>
    </row>
    <row r="470" spans="1:7" ht="37.5" x14ac:dyDescent="0.4">
      <c r="A470" s="2">
        <v>469</v>
      </c>
      <c r="B470" s="2" t="s">
        <v>1645</v>
      </c>
      <c r="C470" s="2" t="str">
        <f>"989-1305"</f>
        <v>989-1305</v>
      </c>
      <c r="D470" s="2" t="s">
        <v>1609</v>
      </c>
      <c r="E470" s="2" t="str">
        <f>"0224-83-2885  "</f>
        <v xml:space="preserve">0224-83-2885  </v>
      </c>
      <c r="F470" s="2" t="s">
        <v>9</v>
      </c>
      <c r="G470" s="2" t="s">
        <v>1063</v>
      </c>
    </row>
    <row r="471" spans="1:7" ht="37.5" x14ac:dyDescent="0.4">
      <c r="A471" s="2">
        <v>470</v>
      </c>
      <c r="B471" s="2" t="s">
        <v>1633</v>
      </c>
      <c r="C471" s="2" t="str">
        <f>"989-1302"</f>
        <v>989-1302</v>
      </c>
      <c r="D471" s="2" t="str">
        <f>"柴田郡村田町大字小泉字西浦８８－１"</f>
        <v>柴田郡村田町大字小泉字西浦８８－１</v>
      </c>
      <c r="E471" s="2" t="str">
        <f>"0224-83-6890  "</f>
        <v xml:space="preserve">0224-83-6890  </v>
      </c>
      <c r="F471" s="2" t="s">
        <v>9</v>
      </c>
      <c r="G471" s="2" t="s">
        <v>1063</v>
      </c>
    </row>
    <row r="472" spans="1:7" ht="37.5" x14ac:dyDescent="0.4">
      <c r="A472" s="2">
        <v>471</v>
      </c>
      <c r="B472" s="2" t="s">
        <v>739</v>
      </c>
      <c r="C472" s="2" t="str">
        <f>"989-1321"</f>
        <v>989-1321</v>
      </c>
      <c r="D472" s="2" t="str">
        <f>"柴田郡村田町大字沼辺字新小谷地２７－２"</f>
        <v>柴田郡村田町大字沼辺字新小谷地２７－２</v>
      </c>
      <c r="E472" s="2" t="str">
        <f>"0224-86-5755  "</f>
        <v xml:space="preserve">0224-86-5755  </v>
      </c>
      <c r="F472" s="2" t="s">
        <v>6</v>
      </c>
      <c r="G472" s="2" t="s">
        <v>300</v>
      </c>
    </row>
    <row r="473" spans="1:7" ht="37.5" x14ac:dyDescent="0.4">
      <c r="A473" s="2">
        <v>472</v>
      </c>
      <c r="B473" s="2" t="s">
        <v>1858</v>
      </c>
      <c r="C473" s="2" t="str">
        <f>"981-1321"</f>
        <v>981-1321</v>
      </c>
      <c r="D473" s="2" t="str">
        <f>"柴田郡村田町大字沼辺字森久保11-1"</f>
        <v>柴田郡村田町大字沼辺字森久保11-1</v>
      </c>
      <c r="E473" s="2" t="str">
        <f>"0224-51-8517  "</f>
        <v xml:space="preserve">0224-51-8517  </v>
      </c>
      <c r="F473" s="2" t="s">
        <v>11</v>
      </c>
      <c r="G473" s="2"/>
    </row>
    <row r="474" spans="1:7" ht="37.5" x14ac:dyDescent="0.4">
      <c r="A474" s="2">
        <v>473</v>
      </c>
      <c r="B474" s="2" t="s">
        <v>1855</v>
      </c>
      <c r="C474" s="2" t="str">
        <f>"989-1305"</f>
        <v>989-1305</v>
      </c>
      <c r="D474" s="2" t="s">
        <v>1856</v>
      </c>
      <c r="E474" s="2" t="str">
        <f>"0224-82-1711  "</f>
        <v xml:space="preserve">0224-82-1711  </v>
      </c>
      <c r="F474" s="2" t="s">
        <v>11</v>
      </c>
      <c r="G474" s="2" t="s">
        <v>1151</v>
      </c>
    </row>
    <row r="475" spans="1:7" ht="37.5" x14ac:dyDescent="0.4">
      <c r="A475" s="2">
        <v>474</v>
      </c>
      <c r="B475" s="2" t="s">
        <v>723</v>
      </c>
      <c r="C475" s="2" t="str">
        <f>"989-1305"</f>
        <v>989-1305</v>
      </c>
      <c r="D475" s="2" t="s">
        <v>751</v>
      </c>
      <c r="E475" s="2" t="str">
        <f>"0224-83-2445  "</f>
        <v xml:space="preserve">0224-83-2445  </v>
      </c>
      <c r="F475" s="2" t="s">
        <v>6</v>
      </c>
      <c r="G475" s="2" t="s">
        <v>752</v>
      </c>
    </row>
    <row r="476" spans="1:7" ht="37.5" x14ac:dyDescent="0.4">
      <c r="A476" s="2">
        <v>475</v>
      </c>
      <c r="B476" s="2" t="s">
        <v>1652</v>
      </c>
      <c r="C476" s="2" t="str">
        <f>"989-1305"</f>
        <v>989-1305</v>
      </c>
      <c r="D476" s="2" t="s">
        <v>1653</v>
      </c>
      <c r="E476" s="2" t="str">
        <f>"0224-82-1682  "</f>
        <v xml:space="preserve">0224-82-1682  </v>
      </c>
      <c r="F476" s="2" t="s">
        <v>9</v>
      </c>
      <c r="G476" s="2" t="s">
        <v>1063</v>
      </c>
    </row>
    <row r="477" spans="1:7" x14ac:dyDescent="0.4">
      <c r="A477" s="2">
        <v>476</v>
      </c>
      <c r="B477" s="2" t="s">
        <v>1639</v>
      </c>
      <c r="C477" s="2" t="str">
        <f>"989-1200"</f>
        <v>989-1200</v>
      </c>
      <c r="D477" s="2" t="s">
        <v>1640</v>
      </c>
      <c r="E477" s="2" t="str">
        <f>"0224-52-5553  "</f>
        <v xml:space="preserve">0224-52-5553  </v>
      </c>
      <c r="F477" s="2" t="s">
        <v>9</v>
      </c>
      <c r="G477" s="2" t="s">
        <v>1063</v>
      </c>
    </row>
    <row r="478" spans="1:7" ht="37.5" x14ac:dyDescent="0.4">
      <c r="A478" s="2">
        <v>477</v>
      </c>
      <c r="B478" s="2" t="s">
        <v>728</v>
      </c>
      <c r="C478" s="2" t="str">
        <f>"989-1225"</f>
        <v>989-1225</v>
      </c>
      <c r="D478" s="2" t="str">
        <f>"柴田郡大河原町字広表３３－４"</f>
        <v>柴田郡大河原町字広表３３－４</v>
      </c>
      <c r="E478" s="2" t="str">
        <f>"0224-51-4625  "</f>
        <v xml:space="preserve">0224-51-4625  </v>
      </c>
      <c r="F478" s="2" t="s">
        <v>6</v>
      </c>
      <c r="G478" s="2" t="s">
        <v>729</v>
      </c>
    </row>
    <row r="479" spans="1:7" ht="37.5" x14ac:dyDescent="0.4">
      <c r="A479" s="2">
        <v>478</v>
      </c>
      <c r="B479" s="2" t="s">
        <v>1632</v>
      </c>
      <c r="C479" s="2" t="str">
        <f>"989-1225"</f>
        <v>989-1225</v>
      </c>
      <c r="D479" s="2" t="str">
        <f>"柴田郡大河原町字広表３４－９"</f>
        <v>柴田郡大河原町字広表３４－９</v>
      </c>
      <c r="E479" s="2" t="str">
        <f>"0224-87-6097  "</f>
        <v xml:space="preserve">0224-87-6097  </v>
      </c>
      <c r="F479" s="2" t="s">
        <v>9</v>
      </c>
      <c r="G479" s="2" t="s">
        <v>1063</v>
      </c>
    </row>
    <row r="480" spans="1:7" ht="37.5" x14ac:dyDescent="0.4">
      <c r="A480" s="2">
        <v>479</v>
      </c>
      <c r="B480" s="2" t="s">
        <v>1648</v>
      </c>
      <c r="C480" s="2" t="str">
        <f>"989-1225"</f>
        <v>989-1225</v>
      </c>
      <c r="D480" s="2" t="str">
        <f>"柴田郡大河原町字広表３９－１８"</f>
        <v>柴田郡大河原町字広表３９－１８</v>
      </c>
      <c r="E480" s="2" t="str">
        <f>"0224-52-7350  "</f>
        <v xml:space="preserve">0224-52-7350  </v>
      </c>
      <c r="F480" s="2" t="s">
        <v>9</v>
      </c>
      <c r="G480" s="2" t="s">
        <v>1063</v>
      </c>
    </row>
    <row r="481" spans="1:7" ht="37.5" x14ac:dyDescent="0.4">
      <c r="A481" s="2">
        <v>480</v>
      </c>
      <c r="B481" s="2" t="s">
        <v>1627</v>
      </c>
      <c r="C481" s="2" t="str">
        <f>"989-1214"</f>
        <v>989-1214</v>
      </c>
      <c r="D481" s="2" t="str">
        <f>"柴田郡大河原町字甲子町３－１"</f>
        <v>柴田郡大河原町字甲子町３－１</v>
      </c>
      <c r="E481" s="2" t="str">
        <f>"0224-51-5085  "</f>
        <v xml:space="preserve">0224-51-5085  </v>
      </c>
      <c r="F481" s="2" t="s">
        <v>9</v>
      </c>
      <c r="G481" s="2" t="s">
        <v>1063</v>
      </c>
    </row>
    <row r="482" spans="1:7" ht="37.5" x14ac:dyDescent="0.4">
      <c r="A482" s="2">
        <v>481</v>
      </c>
      <c r="B482" s="2" t="s">
        <v>730</v>
      </c>
      <c r="C482" s="2" t="str">
        <f>"989-1214"</f>
        <v>989-1214</v>
      </c>
      <c r="D482" s="2" t="str">
        <f>"柴田郡大河原町字甲子町３－５"</f>
        <v>柴田郡大河原町字甲子町３－５</v>
      </c>
      <c r="E482" s="2" t="str">
        <f>"0224-52-2777  "</f>
        <v xml:space="preserve">0224-52-2777  </v>
      </c>
      <c r="F482" s="2" t="s">
        <v>6</v>
      </c>
      <c r="G482" s="2" t="s">
        <v>38</v>
      </c>
    </row>
    <row r="483" spans="1:7" ht="37.5" x14ac:dyDescent="0.4">
      <c r="A483" s="2">
        <v>482</v>
      </c>
      <c r="B483" s="2" t="s">
        <v>1643</v>
      </c>
      <c r="C483" s="2" t="str">
        <f>"989-1267"</f>
        <v>989-1267</v>
      </c>
      <c r="D483" s="2" t="str">
        <f>"柴田郡大河原町字小島２６－１２"</f>
        <v>柴田郡大河原町字小島２６－１２</v>
      </c>
      <c r="E483" s="2" t="str">
        <f>"0224-87-7045  "</f>
        <v xml:space="preserve">0224-87-7045  </v>
      </c>
      <c r="F483" s="2" t="s">
        <v>9</v>
      </c>
      <c r="G483" s="2" t="s">
        <v>1129</v>
      </c>
    </row>
    <row r="484" spans="1:7" ht="37.5" x14ac:dyDescent="0.4">
      <c r="A484" s="2">
        <v>483</v>
      </c>
      <c r="B484" s="2" t="s">
        <v>744</v>
      </c>
      <c r="C484" s="2" t="str">
        <f>"989-1267"</f>
        <v>989-1267</v>
      </c>
      <c r="D484" s="2" t="str">
        <f>"柴田郡大河原町字小島２６－６"</f>
        <v>柴田郡大河原町字小島２６－６</v>
      </c>
      <c r="E484" s="2" t="str">
        <f>"0224-86-5363  "</f>
        <v xml:space="preserve">0224-86-5363  </v>
      </c>
      <c r="F484" s="2" t="s">
        <v>6</v>
      </c>
      <c r="G484" s="2" t="s">
        <v>745</v>
      </c>
    </row>
    <row r="485" spans="1:7" ht="37.5" x14ac:dyDescent="0.4">
      <c r="A485" s="2">
        <v>484</v>
      </c>
      <c r="B485" s="2" t="s">
        <v>750</v>
      </c>
      <c r="C485" s="2" t="str">
        <f>"989-1246"</f>
        <v>989-1246</v>
      </c>
      <c r="D485" s="2" t="str">
        <f>"柴田郡大河原町字新東２２－４"</f>
        <v>柴田郡大河原町字新東２２－４</v>
      </c>
      <c r="E485" s="2" t="str">
        <f>"0224-87-8701  "</f>
        <v xml:space="preserve">0224-87-8701  </v>
      </c>
      <c r="F485" s="2" t="s">
        <v>6</v>
      </c>
      <c r="G485" s="2" t="s">
        <v>84</v>
      </c>
    </row>
    <row r="486" spans="1:7" ht="37.5" x14ac:dyDescent="0.4">
      <c r="A486" s="2">
        <v>485</v>
      </c>
      <c r="B486" s="2" t="s">
        <v>1649</v>
      </c>
      <c r="C486" s="2" t="str">
        <f>"989-1246"</f>
        <v>989-1246</v>
      </c>
      <c r="D486" s="2" t="str">
        <f>"柴田郡大河原町字新東22-6"</f>
        <v>柴田郡大河原町字新東22-6</v>
      </c>
      <c r="E486" s="2" t="str">
        <f>"0224-87-8472  "</f>
        <v xml:space="preserve">0224-87-8472  </v>
      </c>
      <c r="F486" s="2" t="s">
        <v>9</v>
      </c>
      <c r="G486" s="2" t="s">
        <v>1063</v>
      </c>
    </row>
    <row r="487" spans="1:7" ht="37.5" x14ac:dyDescent="0.4">
      <c r="A487" s="2">
        <v>486</v>
      </c>
      <c r="B487" s="2" t="s">
        <v>741</v>
      </c>
      <c r="C487" s="2" t="str">
        <f>"989-1246"</f>
        <v>989-1246</v>
      </c>
      <c r="D487" s="2" t="str">
        <f>"柴田郡大河原町字新東２９－５"</f>
        <v>柴田郡大河原町字新東２９－５</v>
      </c>
      <c r="E487" s="2" t="str">
        <f>"0224-52-5511  "</f>
        <v xml:space="preserve">0224-52-5511  </v>
      </c>
      <c r="F487" s="2" t="s">
        <v>6</v>
      </c>
      <c r="G487" s="2" t="s">
        <v>48</v>
      </c>
    </row>
    <row r="488" spans="1:7" ht="37.5" x14ac:dyDescent="0.4">
      <c r="A488" s="2">
        <v>487</v>
      </c>
      <c r="B488" s="2" t="s">
        <v>1622</v>
      </c>
      <c r="C488" s="2" t="str">
        <f>"989-1246"</f>
        <v>989-1246</v>
      </c>
      <c r="D488" s="2" t="str">
        <f>"柴田郡大河原町字新東９２－１"</f>
        <v>柴田郡大河原町字新東９２－１</v>
      </c>
      <c r="E488" s="2" t="str">
        <f>"0224-51-4011  "</f>
        <v xml:space="preserve">0224-51-4011  </v>
      </c>
      <c r="F488" s="2" t="s">
        <v>9</v>
      </c>
      <c r="G488" s="2" t="s">
        <v>1063</v>
      </c>
    </row>
    <row r="489" spans="1:7" ht="37.5" x14ac:dyDescent="0.4">
      <c r="A489" s="2">
        <v>488</v>
      </c>
      <c r="B489" s="2" t="s">
        <v>1621</v>
      </c>
      <c r="C489" s="2" t="str">
        <f>"989-1246"</f>
        <v>989-1246</v>
      </c>
      <c r="D489" s="2" t="str">
        <f>"柴田郡大河原町字新東９２－１１"</f>
        <v>柴田郡大河原町字新東９２－１１</v>
      </c>
      <c r="E489" s="2" t="str">
        <f>"0224-53-4189  "</f>
        <v xml:space="preserve">0224-53-4189  </v>
      </c>
      <c r="F489" s="2" t="s">
        <v>9</v>
      </c>
      <c r="G489" s="2" t="s">
        <v>1063</v>
      </c>
    </row>
    <row r="490" spans="1:7" ht="37.5" x14ac:dyDescent="0.4">
      <c r="A490" s="2">
        <v>489</v>
      </c>
      <c r="B490" s="2" t="s">
        <v>1623</v>
      </c>
      <c r="C490" s="2" t="str">
        <f>"989-1246"</f>
        <v>989-1246</v>
      </c>
      <c r="D490" s="2" t="str">
        <f>"柴田郡大河原町字新東９３－６"</f>
        <v>柴田郡大河原町字新東９３－６</v>
      </c>
      <c r="E490" s="2" t="str">
        <f>"0224-51-3121  "</f>
        <v xml:space="preserve">0224-51-3121  </v>
      </c>
      <c r="F490" s="2" t="s">
        <v>9</v>
      </c>
      <c r="G490" s="2" t="s">
        <v>1063</v>
      </c>
    </row>
    <row r="491" spans="1:7" ht="37.5" x14ac:dyDescent="0.4">
      <c r="A491" s="2">
        <v>490</v>
      </c>
      <c r="B491" s="2" t="s">
        <v>1641</v>
      </c>
      <c r="C491" s="2" t="str">
        <f>"989-1246"</f>
        <v>989-1246</v>
      </c>
      <c r="D491" s="2" t="str">
        <f>"柴田郡大河原町字新東93-9"</f>
        <v>柴田郡大河原町字新東93-9</v>
      </c>
      <c r="E491" s="2" t="str">
        <f>"0224-87-8356  "</f>
        <v xml:space="preserve">0224-87-8356  </v>
      </c>
      <c r="F491" s="2" t="s">
        <v>9</v>
      </c>
      <c r="G491" s="2" t="s">
        <v>1129</v>
      </c>
    </row>
    <row r="492" spans="1:7" ht="37.5" x14ac:dyDescent="0.4">
      <c r="A492" s="2">
        <v>491</v>
      </c>
      <c r="B492" s="2" t="s">
        <v>1617</v>
      </c>
      <c r="C492" s="2" t="str">
        <f>"989-1245"</f>
        <v>989-1245</v>
      </c>
      <c r="D492" s="2" t="str">
        <f>"柴田郡大河原町字新南　２８－１１"</f>
        <v>柴田郡大河原町字新南　２８－１１</v>
      </c>
      <c r="E492" s="2" t="str">
        <f>"0224-52-7667  "</f>
        <v xml:space="preserve">0224-52-7667  </v>
      </c>
      <c r="F492" s="2" t="s">
        <v>9</v>
      </c>
      <c r="G492" s="2" t="s">
        <v>1063</v>
      </c>
    </row>
    <row r="493" spans="1:7" ht="187.5" x14ac:dyDescent="0.4">
      <c r="A493" s="2">
        <v>492</v>
      </c>
      <c r="B493" s="2" t="s">
        <v>724</v>
      </c>
      <c r="C493" s="2" t="str">
        <f>"989-1253"</f>
        <v>989-1253</v>
      </c>
      <c r="D493" s="2" t="str">
        <f>"柴田郡大河原町字西３８－１"</f>
        <v>柴田郡大河原町字西３８－１</v>
      </c>
      <c r="E493" s="2" t="str">
        <f>"0224-51-5500  "</f>
        <v xml:space="preserve">0224-51-5500  </v>
      </c>
      <c r="F493" s="2" t="s">
        <v>6</v>
      </c>
      <c r="G493" s="2" t="s">
        <v>725</v>
      </c>
    </row>
    <row r="494" spans="1:7" ht="37.5" x14ac:dyDescent="0.4">
      <c r="A494" s="2">
        <v>493</v>
      </c>
      <c r="B494" s="2" t="s">
        <v>721</v>
      </c>
      <c r="C494" s="2" t="str">
        <f>"989-1244"</f>
        <v>989-1244</v>
      </c>
      <c r="D494" s="2" t="s">
        <v>722</v>
      </c>
      <c r="E494" s="2" t="str">
        <f>"0224-53-1113  "</f>
        <v xml:space="preserve">0224-53-1113  </v>
      </c>
      <c r="F494" s="2" t="s">
        <v>6</v>
      </c>
      <c r="G494" s="2" t="s">
        <v>48</v>
      </c>
    </row>
    <row r="495" spans="1:7" x14ac:dyDescent="0.4">
      <c r="A495" s="2">
        <v>494</v>
      </c>
      <c r="B495" s="2" t="s">
        <v>1639</v>
      </c>
      <c r="C495" s="2" t="str">
        <f>"989-1241"</f>
        <v>989-1241</v>
      </c>
      <c r="D495" s="2" t="str">
        <f>"柴田郡大河原町字町 70-4"</f>
        <v>柴田郡大河原町字町 70-4</v>
      </c>
      <c r="E495" s="2" t="str">
        <f>"0224-52-5553  "</f>
        <v xml:space="preserve">0224-52-5553  </v>
      </c>
      <c r="F495" s="2" t="s">
        <v>9</v>
      </c>
      <c r="G495" s="2" t="s">
        <v>1063</v>
      </c>
    </row>
    <row r="496" spans="1:7" ht="37.5" x14ac:dyDescent="0.4">
      <c r="A496" s="2">
        <v>495</v>
      </c>
      <c r="B496" s="2" t="s">
        <v>1608</v>
      </c>
      <c r="C496" s="2" t="str">
        <f>"989-1241"</f>
        <v>989-1241</v>
      </c>
      <c r="D496" s="2" t="str">
        <f>"柴田郡大河原町字町７６－３"</f>
        <v>柴田郡大河原町字町７６－３</v>
      </c>
      <c r="E496" s="2" t="str">
        <f>"0224-52-4275  "</f>
        <v xml:space="preserve">0224-52-4275  </v>
      </c>
      <c r="F496" s="2" t="s">
        <v>9</v>
      </c>
      <c r="G496" s="2" t="s">
        <v>1063</v>
      </c>
    </row>
    <row r="497" spans="1:7" ht="37.5" x14ac:dyDescent="0.4">
      <c r="A497" s="2">
        <v>496</v>
      </c>
      <c r="B497" s="2" t="s">
        <v>1615</v>
      </c>
      <c r="C497" s="2" t="str">
        <f>"989-1223"</f>
        <v>989-1223</v>
      </c>
      <c r="D497" s="2" t="s">
        <v>1616</v>
      </c>
      <c r="E497" s="2" t="str">
        <f>"0224-52-0885  "</f>
        <v xml:space="preserve">0224-52-0885  </v>
      </c>
      <c r="F497" s="2" t="s">
        <v>9</v>
      </c>
      <c r="G497" s="2" t="s">
        <v>1063</v>
      </c>
    </row>
    <row r="498" spans="1:7" ht="37.5" x14ac:dyDescent="0.4">
      <c r="A498" s="2">
        <v>497</v>
      </c>
      <c r="B498" s="2" t="s">
        <v>1032</v>
      </c>
      <c r="C498" s="2" t="str">
        <f>"989-1223"</f>
        <v>989-1223</v>
      </c>
      <c r="D498" s="2" t="str">
        <f>"柴田郡大河原町字東新町６－９"</f>
        <v>柴田郡大河原町字東新町６－９</v>
      </c>
      <c r="E498" s="2" t="str">
        <f>"0224-52-3900  "</f>
        <v xml:space="preserve">0224-52-3900  </v>
      </c>
      <c r="F498" s="2" t="s">
        <v>10</v>
      </c>
      <c r="G498" s="2" t="s">
        <v>902</v>
      </c>
    </row>
    <row r="499" spans="1:7" ht="37.5" x14ac:dyDescent="0.4">
      <c r="A499" s="2">
        <v>498</v>
      </c>
      <c r="B499" s="2" t="s">
        <v>735</v>
      </c>
      <c r="C499" s="2" t="str">
        <f>"989-1272"</f>
        <v>989-1272</v>
      </c>
      <c r="D499" s="2" t="s">
        <v>736</v>
      </c>
      <c r="E499" s="2" t="str">
        <f>"0224-51-0721  "</f>
        <v xml:space="preserve">0224-51-0721  </v>
      </c>
      <c r="F499" s="2" t="s">
        <v>6</v>
      </c>
      <c r="G499" s="2" t="s">
        <v>737</v>
      </c>
    </row>
    <row r="500" spans="1:7" ht="37.5" x14ac:dyDescent="0.4">
      <c r="A500" s="2">
        <v>499</v>
      </c>
      <c r="B500" s="2" t="s">
        <v>726</v>
      </c>
      <c r="C500" s="2" t="str">
        <f>"989-1213"</f>
        <v>989-1213</v>
      </c>
      <c r="D500" s="2" t="str">
        <f>"柴田郡大河原町住吉町　１１－１"</f>
        <v>柴田郡大河原町住吉町　１１－１</v>
      </c>
      <c r="E500" s="2" t="str">
        <f>"0224-53-5151  "</f>
        <v xml:space="preserve">0224-53-5151  </v>
      </c>
      <c r="F500" s="2" t="s">
        <v>6</v>
      </c>
      <c r="G500" s="2" t="s">
        <v>34</v>
      </c>
    </row>
    <row r="501" spans="1:7" ht="37.5" x14ac:dyDescent="0.4">
      <c r="A501" s="2">
        <v>500</v>
      </c>
      <c r="B501" s="2" t="s">
        <v>727</v>
      </c>
      <c r="C501" s="2" t="str">
        <f>"989-1213"</f>
        <v>989-1213</v>
      </c>
      <c r="D501" s="2" t="str">
        <f>"柴田郡大河原町住吉町１１－１"</f>
        <v>柴田郡大河原町住吉町１１－１</v>
      </c>
      <c r="E501" s="2" t="str">
        <f>"0224-51-5355  "</f>
        <v xml:space="preserve">0224-51-5355  </v>
      </c>
      <c r="F501" s="2" t="s">
        <v>6</v>
      </c>
      <c r="G501" s="2" t="s">
        <v>79</v>
      </c>
    </row>
    <row r="502" spans="1:7" ht="37.5" x14ac:dyDescent="0.4">
      <c r="A502" s="2">
        <v>501</v>
      </c>
      <c r="B502" s="2" t="s">
        <v>1618</v>
      </c>
      <c r="C502" s="2" t="str">
        <f>"989-1213"</f>
        <v>989-1213</v>
      </c>
      <c r="D502" s="2" t="s">
        <v>1619</v>
      </c>
      <c r="E502" s="2" t="str">
        <f>"0224-51-4040  "</f>
        <v xml:space="preserve">0224-51-4040  </v>
      </c>
      <c r="F502" s="2" t="s">
        <v>9</v>
      </c>
      <c r="G502" s="2" t="s">
        <v>1063</v>
      </c>
    </row>
    <row r="503" spans="1:7" ht="37.5" x14ac:dyDescent="0.4">
      <c r="A503" s="2">
        <v>502</v>
      </c>
      <c r="B503" s="2" t="s">
        <v>1631</v>
      </c>
      <c r="C503" s="2" t="str">
        <f>"989-1201"</f>
        <v>989-1201</v>
      </c>
      <c r="D503" s="2" t="str">
        <f>"柴田郡大河原町大谷字戸ノ内前３１－１０"</f>
        <v>柴田郡大河原町大谷字戸ノ内前３１－１０</v>
      </c>
      <c r="E503" s="2" t="str">
        <f>"0224-51-4431  "</f>
        <v xml:space="preserve">0224-51-4431  </v>
      </c>
      <c r="F503" s="2" t="s">
        <v>9</v>
      </c>
      <c r="G503" s="2" t="s">
        <v>1063</v>
      </c>
    </row>
    <row r="504" spans="1:7" ht="37.5" x14ac:dyDescent="0.4">
      <c r="A504" s="2">
        <v>503</v>
      </c>
      <c r="B504" s="2" t="s">
        <v>731</v>
      </c>
      <c r="C504" s="2" t="str">
        <f>"989-1201"</f>
        <v>989-1201</v>
      </c>
      <c r="D504" s="2" t="str">
        <f>"柴田郡大河原町大谷字戸ノ内前３５－１"</f>
        <v>柴田郡大河原町大谷字戸ノ内前３５－１</v>
      </c>
      <c r="E504" s="2" t="str">
        <f>"0224-51-3741  "</f>
        <v xml:space="preserve">0224-51-3741  </v>
      </c>
      <c r="F504" s="2" t="s">
        <v>6</v>
      </c>
      <c r="G504" s="2" t="s">
        <v>215</v>
      </c>
    </row>
    <row r="505" spans="1:7" ht="37.5" x14ac:dyDescent="0.4">
      <c r="A505" s="2">
        <v>504</v>
      </c>
      <c r="B505" s="2" t="s">
        <v>1647</v>
      </c>
      <c r="C505" s="2" t="str">
        <f>"989-1201"</f>
        <v>989-1201</v>
      </c>
      <c r="D505" s="2" t="str">
        <f>"柴田郡大河原町大谷字西原前５３－２"</f>
        <v>柴田郡大河原町大谷字西原前５３－２</v>
      </c>
      <c r="E505" s="2" t="str">
        <f>"0224-87-7346  "</f>
        <v xml:space="preserve">0224-87-7346  </v>
      </c>
      <c r="F505" s="2" t="s">
        <v>9</v>
      </c>
      <c r="G505" s="2" t="s">
        <v>1063</v>
      </c>
    </row>
    <row r="506" spans="1:7" ht="37.5" x14ac:dyDescent="0.4">
      <c r="A506" s="2">
        <v>505</v>
      </c>
      <c r="B506" s="2" t="s">
        <v>1642</v>
      </c>
      <c r="C506" s="2" t="str">
        <f>"989-1201"</f>
        <v>989-1201</v>
      </c>
      <c r="D506" s="2" t="str">
        <f>"柴田郡大河原町大谷末広61-1"</f>
        <v>柴田郡大河原町大谷末広61-1</v>
      </c>
      <c r="E506" s="2" t="str">
        <f>"0224-87-6733  "</f>
        <v xml:space="preserve">0224-87-6733  </v>
      </c>
      <c r="F506" s="2" t="s">
        <v>9</v>
      </c>
      <c r="G506" s="2" t="s">
        <v>1129</v>
      </c>
    </row>
    <row r="507" spans="1:7" ht="37.5" x14ac:dyDescent="0.4">
      <c r="A507" s="2">
        <v>506</v>
      </c>
      <c r="B507" s="2" t="s">
        <v>709</v>
      </c>
      <c r="C507" s="2" t="str">
        <f>"989-1223"</f>
        <v>989-1223</v>
      </c>
      <c r="D507" s="2" t="str">
        <f>"柴田郡大河原町東新町１０－７"</f>
        <v>柴田郡大河原町東新町１０－７</v>
      </c>
      <c r="E507" s="2" t="str">
        <f>"0224-52-3115  "</f>
        <v xml:space="preserve">0224-52-3115  </v>
      </c>
      <c r="F507" s="2" t="s">
        <v>6</v>
      </c>
      <c r="G507" s="2" t="s">
        <v>710</v>
      </c>
    </row>
    <row r="508" spans="1:7" ht="37.5" x14ac:dyDescent="0.4">
      <c r="A508" s="2">
        <v>507</v>
      </c>
      <c r="B508" s="2" t="s">
        <v>1140</v>
      </c>
      <c r="C508" s="2" t="str">
        <f>"986-0862"</f>
        <v>986-0862</v>
      </c>
      <c r="D508" s="2" t="str">
        <f>"石巻市あけぼの三丁目１－５"</f>
        <v>石巻市あけぼの三丁目１－５</v>
      </c>
      <c r="E508" s="2" t="str">
        <f>"0225-25-5981  "</f>
        <v xml:space="preserve">0225-25-5981  </v>
      </c>
      <c r="F508" s="2" t="s">
        <v>9</v>
      </c>
      <c r="G508" s="2" t="s">
        <v>1063</v>
      </c>
    </row>
    <row r="509" spans="1:7" ht="37.5" x14ac:dyDescent="0.4">
      <c r="A509" s="2">
        <v>508</v>
      </c>
      <c r="B509" s="2" t="s">
        <v>1121</v>
      </c>
      <c r="C509" s="2" t="str">
        <f>"986-0869"</f>
        <v>986-0869</v>
      </c>
      <c r="D509" s="2" t="str">
        <f>"石巻市あけぼの北1丁目1-7"</f>
        <v>石巻市あけぼの北1丁目1-7</v>
      </c>
      <c r="E509" s="2" t="str">
        <f>"0225-92-1577  "</f>
        <v xml:space="preserve">0225-92-1577  </v>
      </c>
      <c r="F509" s="2" t="s">
        <v>9</v>
      </c>
      <c r="G509" s="2" t="s">
        <v>1063</v>
      </c>
    </row>
    <row r="510" spans="1:7" ht="37.5" x14ac:dyDescent="0.4">
      <c r="A510" s="2">
        <v>509</v>
      </c>
      <c r="B510" s="2" t="s">
        <v>119</v>
      </c>
      <c r="C510" s="2" t="str">
        <f>"986-0850"</f>
        <v>986-0850</v>
      </c>
      <c r="D510" s="2" t="str">
        <f>"石巻市あゆみ野２－１４－１"</f>
        <v>石巻市あゆみ野２－１４－１</v>
      </c>
      <c r="E510" s="2" t="str">
        <f>"0225-95-0182  "</f>
        <v xml:space="preserve">0225-95-0182  </v>
      </c>
      <c r="F510" s="2" t="s">
        <v>6</v>
      </c>
      <c r="G510" s="2" t="s">
        <v>120</v>
      </c>
    </row>
    <row r="511" spans="1:7" ht="37.5" x14ac:dyDescent="0.4">
      <c r="A511" s="2">
        <v>510</v>
      </c>
      <c r="B511" s="2" t="s">
        <v>1139</v>
      </c>
      <c r="C511" s="2" t="str">
        <f>"986-0850"</f>
        <v>986-0850</v>
      </c>
      <c r="D511" s="2" t="str">
        <f>"石巻市あゆみ野５丁目２－２"</f>
        <v>石巻市あゆみ野５丁目２－２</v>
      </c>
      <c r="E511" s="2" t="str">
        <f>"0225-25-6325  "</f>
        <v xml:space="preserve">0225-25-6325  </v>
      </c>
      <c r="F511" s="2" t="s">
        <v>9</v>
      </c>
      <c r="G511" s="2" t="s">
        <v>1063</v>
      </c>
    </row>
    <row r="512" spans="1:7" ht="37.5" x14ac:dyDescent="0.4">
      <c r="A512" s="2">
        <v>511</v>
      </c>
      <c r="B512" s="2" t="s">
        <v>1125</v>
      </c>
      <c r="C512" s="2" t="str">
        <f>"986-0850"</f>
        <v>986-0850</v>
      </c>
      <c r="D512" s="2" t="s">
        <v>1126</v>
      </c>
      <c r="E512" s="2" t="str">
        <f>"0225-92-7268  "</f>
        <v xml:space="preserve">0225-92-7268  </v>
      </c>
      <c r="F512" s="2" t="s">
        <v>9</v>
      </c>
      <c r="G512" s="2" t="s">
        <v>1063</v>
      </c>
    </row>
    <row r="513" spans="1:7" ht="37.5" x14ac:dyDescent="0.4">
      <c r="A513" s="2">
        <v>512</v>
      </c>
      <c r="B513" s="2" t="s">
        <v>1080</v>
      </c>
      <c r="C513" s="2" t="str">
        <f>"986-0867"</f>
        <v>986-0867</v>
      </c>
      <c r="D513" s="2" t="str">
        <f>"石巻市わかば２－１１－２"</f>
        <v>石巻市わかば２－１１－２</v>
      </c>
      <c r="E513" s="2" t="str">
        <f>"0225-22-2770  "</f>
        <v xml:space="preserve">0225-22-2770  </v>
      </c>
      <c r="F513" s="2" t="s">
        <v>9</v>
      </c>
      <c r="G513" s="2" t="s">
        <v>1063</v>
      </c>
    </row>
    <row r="514" spans="1:7" ht="37.5" x14ac:dyDescent="0.4">
      <c r="A514" s="2">
        <v>513</v>
      </c>
      <c r="B514" s="2" t="s">
        <v>1103</v>
      </c>
      <c r="C514" s="2" t="str">
        <f>"986-0867"</f>
        <v>986-0867</v>
      </c>
      <c r="D514" s="2" t="str">
        <f>"石巻市わかば２－１１－３"</f>
        <v>石巻市わかば２－１１－３</v>
      </c>
      <c r="E514" s="2" t="str">
        <f>"0225-92-6861  "</f>
        <v xml:space="preserve">0225-92-6861  </v>
      </c>
      <c r="F514" s="2" t="s">
        <v>9</v>
      </c>
      <c r="G514" s="2" t="s">
        <v>1063</v>
      </c>
    </row>
    <row r="515" spans="1:7" ht="37.5" x14ac:dyDescent="0.4">
      <c r="A515" s="2">
        <v>514</v>
      </c>
      <c r="B515" s="2" t="s">
        <v>1101</v>
      </c>
      <c r="C515" s="2" t="str">
        <f>"986-0867"</f>
        <v>986-0867</v>
      </c>
      <c r="D515" s="2" t="str">
        <f>"石巻市わかば２－１２－１"</f>
        <v>石巻市わかば２－１２－１</v>
      </c>
      <c r="E515" s="2" t="str">
        <f>"0225-92-7858  "</f>
        <v xml:space="preserve">0225-92-7858  </v>
      </c>
      <c r="F515" s="2" t="s">
        <v>9</v>
      </c>
      <c r="G515" s="2" t="s">
        <v>1063</v>
      </c>
    </row>
    <row r="516" spans="1:7" ht="37.5" x14ac:dyDescent="0.4">
      <c r="A516" s="2">
        <v>515</v>
      </c>
      <c r="B516" s="2" t="s">
        <v>1100</v>
      </c>
      <c r="C516" s="2" t="str">
        <f>"986-0867"</f>
        <v>986-0867</v>
      </c>
      <c r="D516" s="2" t="str">
        <f>"石巻市わかば２－１３－２"</f>
        <v>石巻市わかば２－１３－２</v>
      </c>
      <c r="E516" s="2" t="str">
        <f>"0225-23-7461  "</f>
        <v xml:space="preserve">0225-23-7461  </v>
      </c>
      <c r="F516" s="2" t="s">
        <v>9</v>
      </c>
      <c r="G516" s="2" t="s">
        <v>1063</v>
      </c>
    </row>
    <row r="517" spans="1:7" ht="37.5" x14ac:dyDescent="0.4">
      <c r="A517" s="2">
        <v>516</v>
      </c>
      <c r="B517" s="2" t="s">
        <v>101</v>
      </c>
      <c r="C517" s="2" t="str">
        <f>"986-0867"</f>
        <v>986-0867</v>
      </c>
      <c r="D517" s="2" t="str">
        <f>"石巻市わかば２－１３－５"</f>
        <v>石巻市わかば２－１３－５</v>
      </c>
      <c r="E517" s="2" t="str">
        <f>"050-3777-2177 "</f>
        <v xml:space="preserve">050-3777-2177 </v>
      </c>
      <c r="F517" s="2" t="s">
        <v>6</v>
      </c>
      <c r="G517" s="2" t="s">
        <v>38</v>
      </c>
    </row>
    <row r="518" spans="1:7" x14ac:dyDescent="0.4">
      <c r="A518" s="2">
        <v>517</v>
      </c>
      <c r="B518" s="2" t="s">
        <v>1109</v>
      </c>
      <c r="C518" s="2" t="str">
        <f>"986-0867"</f>
        <v>986-0867</v>
      </c>
      <c r="D518" s="2" t="str">
        <f>"石巻市わかば２－１－４"</f>
        <v>石巻市わかば２－１－４</v>
      </c>
      <c r="E518" s="2" t="str">
        <f>"0225-23-7323  "</f>
        <v xml:space="preserve">0225-23-7323  </v>
      </c>
      <c r="F518" s="2" t="s">
        <v>9</v>
      </c>
      <c r="G518" s="2" t="s">
        <v>1063</v>
      </c>
    </row>
    <row r="519" spans="1:7" x14ac:dyDescent="0.4">
      <c r="A519" s="2">
        <v>518</v>
      </c>
      <c r="B519" s="2" t="s">
        <v>103</v>
      </c>
      <c r="C519" s="2" t="str">
        <f>"986-0867"</f>
        <v>986-0867</v>
      </c>
      <c r="D519" s="2" t="str">
        <f>"石巻市わかば２－１－５"</f>
        <v>石巻市わかば２－１－５</v>
      </c>
      <c r="E519" s="2" t="str">
        <f>"0225-24-9133  "</f>
        <v xml:space="preserve">0225-24-9133  </v>
      </c>
      <c r="F519" s="2" t="s">
        <v>6</v>
      </c>
      <c r="G519" s="2" t="s">
        <v>104</v>
      </c>
    </row>
    <row r="520" spans="1:7" x14ac:dyDescent="0.4">
      <c r="A520" s="2">
        <v>519</v>
      </c>
      <c r="B520" s="2" t="s">
        <v>1108</v>
      </c>
      <c r="C520" s="2" t="str">
        <f>"986-0867"</f>
        <v>986-0867</v>
      </c>
      <c r="D520" s="2" t="str">
        <f>"石巻市わかば２－５－１"</f>
        <v>石巻市わかば２－５－１</v>
      </c>
      <c r="E520" s="2" t="str">
        <f>"0225-25-5211  "</f>
        <v xml:space="preserve">0225-25-5211  </v>
      </c>
      <c r="F520" s="2" t="s">
        <v>9</v>
      </c>
      <c r="G520" s="2" t="s">
        <v>1063</v>
      </c>
    </row>
    <row r="521" spans="1:7" x14ac:dyDescent="0.4">
      <c r="A521" s="2">
        <v>520</v>
      </c>
      <c r="B521" s="2" t="s">
        <v>27</v>
      </c>
      <c r="C521" s="2" t="str">
        <f>"986-0866"</f>
        <v>986-0866</v>
      </c>
      <c r="D521" s="2" t="str">
        <f>"石巻市茜平１丁目４－１"</f>
        <v>石巻市茜平１丁目４－１</v>
      </c>
      <c r="E521" s="2" t="str">
        <f>"0225-93-3737  "</f>
        <v xml:space="preserve">0225-93-3737  </v>
      </c>
      <c r="F521" s="2" t="s">
        <v>6</v>
      </c>
      <c r="G521" s="2" t="s">
        <v>28</v>
      </c>
    </row>
    <row r="522" spans="1:7" ht="37.5" x14ac:dyDescent="0.4">
      <c r="A522" s="2">
        <v>521</v>
      </c>
      <c r="B522" s="2" t="s">
        <v>1770</v>
      </c>
      <c r="C522" s="2" t="str">
        <f>"986-0866"</f>
        <v>986-0866</v>
      </c>
      <c r="D522" s="2" t="str">
        <f>"石巻市茜平２－１－７"</f>
        <v>石巻市茜平２－１－７</v>
      </c>
      <c r="E522" s="2" t="str">
        <f>"0225-22-1061  "</f>
        <v xml:space="preserve">0225-22-1061  </v>
      </c>
      <c r="F522" s="2" t="s">
        <v>11</v>
      </c>
      <c r="G522" s="2" t="s">
        <v>1151</v>
      </c>
    </row>
    <row r="523" spans="1:7" x14ac:dyDescent="0.4">
      <c r="A523" s="2">
        <v>522</v>
      </c>
      <c r="B523" s="2" t="s">
        <v>57</v>
      </c>
      <c r="C523" s="2" t="str">
        <f>"986-0866"</f>
        <v>986-0866</v>
      </c>
      <c r="D523" s="2" t="str">
        <f>"石巻市茜平４－１０４"</f>
        <v>石巻市茜平４－１０４</v>
      </c>
      <c r="E523" s="2" t="str">
        <f>"0225-22-3020  "</f>
        <v xml:space="preserve">0225-22-3020  </v>
      </c>
      <c r="F523" s="2" t="s">
        <v>6</v>
      </c>
      <c r="G523" s="2" t="s">
        <v>58</v>
      </c>
    </row>
    <row r="524" spans="1:7" ht="37.5" x14ac:dyDescent="0.4">
      <c r="A524" s="2">
        <v>523</v>
      </c>
      <c r="B524" s="2" t="s">
        <v>1102</v>
      </c>
      <c r="C524" s="2" t="str">
        <f>"986-0866"</f>
        <v>986-0866</v>
      </c>
      <c r="D524" s="2" t="s">
        <v>1141</v>
      </c>
      <c r="E524" s="2" t="str">
        <f>"0225-92-1064  "</f>
        <v xml:space="preserve">0225-92-1064  </v>
      </c>
      <c r="F524" s="2" t="s">
        <v>9</v>
      </c>
      <c r="G524" s="2" t="s">
        <v>1063</v>
      </c>
    </row>
    <row r="525" spans="1:7" x14ac:dyDescent="0.4">
      <c r="A525" s="2">
        <v>524</v>
      </c>
      <c r="B525" s="2" t="s">
        <v>74</v>
      </c>
      <c r="C525" s="2" t="str">
        <f>"986-2523"</f>
        <v>986-2523</v>
      </c>
      <c r="D525" s="2" t="s">
        <v>75</v>
      </c>
      <c r="E525" s="2" t="str">
        <f>"0225-45-3185  "</f>
        <v xml:space="preserve">0225-45-3185  </v>
      </c>
      <c r="F525" s="2" t="s">
        <v>6</v>
      </c>
      <c r="G525" s="2" t="s">
        <v>76</v>
      </c>
    </row>
    <row r="526" spans="1:7" ht="37.5" x14ac:dyDescent="0.4">
      <c r="A526" s="2">
        <v>525</v>
      </c>
      <c r="B526" s="2" t="s">
        <v>1112</v>
      </c>
      <c r="C526" s="2" t="str">
        <f>"986-0813"</f>
        <v>986-0813</v>
      </c>
      <c r="D526" s="2" t="str">
        <f>"石巻市駅前北通り１－１４－２９"</f>
        <v>石巻市駅前北通り１－１４－２９</v>
      </c>
      <c r="E526" s="2" t="str">
        <f>"0225-92-0173  "</f>
        <v xml:space="preserve">0225-92-0173  </v>
      </c>
      <c r="F526" s="2" t="s">
        <v>9</v>
      </c>
      <c r="G526" s="2" t="s">
        <v>1063</v>
      </c>
    </row>
    <row r="527" spans="1:7" ht="37.5" x14ac:dyDescent="0.4">
      <c r="A527" s="2">
        <v>526</v>
      </c>
      <c r="B527" s="2" t="s">
        <v>78</v>
      </c>
      <c r="C527" s="2" t="str">
        <f>"986-0865"</f>
        <v>986-0865</v>
      </c>
      <c r="D527" s="2" t="str">
        <f>"石巻市丸井戸３－４－１０"</f>
        <v>石巻市丸井戸３－４－１０</v>
      </c>
      <c r="E527" s="2" t="str">
        <f>"0225-92-8805  "</f>
        <v xml:space="preserve">0225-92-8805  </v>
      </c>
      <c r="F527" s="2" t="s">
        <v>6</v>
      </c>
      <c r="G527" s="2" t="s">
        <v>79</v>
      </c>
    </row>
    <row r="528" spans="1:7" ht="37.5" x14ac:dyDescent="0.4">
      <c r="A528" s="2">
        <v>527</v>
      </c>
      <c r="B528" s="2" t="s">
        <v>1774</v>
      </c>
      <c r="C528" s="2" t="str">
        <f>"986-0865"</f>
        <v>986-0865</v>
      </c>
      <c r="D528" s="2" t="str">
        <f>"石巻市丸井戸二丁目１－８"</f>
        <v>石巻市丸井戸二丁目１－８</v>
      </c>
      <c r="E528" s="2" t="str">
        <f>"0225-22-2128  "</f>
        <v xml:space="preserve">0225-22-2128  </v>
      </c>
      <c r="F528" s="2" t="s">
        <v>11</v>
      </c>
      <c r="G528" s="2" t="s">
        <v>1151</v>
      </c>
    </row>
    <row r="529" spans="1:7" x14ac:dyDescent="0.4">
      <c r="A529" s="2">
        <v>528</v>
      </c>
      <c r="B529" s="2" t="s">
        <v>19</v>
      </c>
      <c r="C529" s="2" t="str">
        <f>"986-0877"</f>
        <v>986-0877</v>
      </c>
      <c r="D529" s="2" t="str">
        <f>"石巻市錦町　６－４５"</f>
        <v>石巻市錦町　６－４５</v>
      </c>
      <c r="E529" s="2" t="str">
        <f>"0225-22-8822  "</f>
        <v xml:space="preserve">0225-22-8822  </v>
      </c>
      <c r="F529" s="2" t="s">
        <v>6</v>
      </c>
      <c r="G529" s="2" t="s">
        <v>20</v>
      </c>
    </row>
    <row r="530" spans="1:7" x14ac:dyDescent="0.4">
      <c r="A530" s="2">
        <v>529</v>
      </c>
      <c r="B530" s="2" t="s">
        <v>1087</v>
      </c>
      <c r="C530" s="2" t="str">
        <f>"986-0877"</f>
        <v>986-0877</v>
      </c>
      <c r="D530" s="2" t="str">
        <f>"石巻市錦町６－４７"</f>
        <v>石巻市錦町６－４７</v>
      </c>
      <c r="E530" s="2" t="str">
        <f>"0225-92-6701  "</f>
        <v xml:space="preserve">0225-92-6701  </v>
      </c>
      <c r="F530" s="2" t="s">
        <v>9</v>
      </c>
      <c r="G530" s="2" t="s">
        <v>1063</v>
      </c>
    </row>
    <row r="531" spans="1:7" ht="37.5" x14ac:dyDescent="0.4">
      <c r="A531" s="2">
        <v>530</v>
      </c>
      <c r="B531" s="2" t="s">
        <v>1111</v>
      </c>
      <c r="C531" s="2" t="str">
        <f>"986-0868"</f>
        <v>986-0868</v>
      </c>
      <c r="D531" s="2" t="str">
        <f>"石巻市恵み野４－１－１６"</f>
        <v>石巻市恵み野４－１－１６</v>
      </c>
      <c r="E531" s="2" t="str">
        <f>"0225-94-8260  "</f>
        <v xml:space="preserve">0225-94-8260  </v>
      </c>
      <c r="F531" s="2" t="s">
        <v>9</v>
      </c>
      <c r="G531" s="2" t="s">
        <v>1063</v>
      </c>
    </row>
    <row r="532" spans="1:7" x14ac:dyDescent="0.4">
      <c r="A532" s="2">
        <v>531</v>
      </c>
      <c r="B532" s="2" t="s">
        <v>121</v>
      </c>
      <c r="C532" s="2" t="str">
        <f>"986-0868"</f>
        <v>986-0868</v>
      </c>
      <c r="D532" s="2" t="str">
        <f>"石巻市恵み野5-10-38"</f>
        <v>石巻市恵み野5-10-38</v>
      </c>
      <c r="E532" s="2" t="str">
        <f>"0225-92-7311  "</f>
        <v xml:space="preserve">0225-92-7311  </v>
      </c>
      <c r="F532" s="2" t="s">
        <v>6</v>
      </c>
      <c r="G532" s="2" t="s">
        <v>122</v>
      </c>
    </row>
    <row r="533" spans="1:7" ht="37.5" x14ac:dyDescent="0.4">
      <c r="A533" s="2">
        <v>532</v>
      </c>
      <c r="B533" s="2" t="s">
        <v>88</v>
      </c>
      <c r="C533" s="2" t="str">
        <f>"986-0868"</f>
        <v>986-0868</v>
      </c>
      <c r="D533" s="2" t="str">
        <f>"石巻市恵み野５－１０－４１"</f>
        <v>石巻市恵み野５－１０－４１</v>
      </c>
      <c r="E533" s="2" t="str">
        <f>"0225-92-0211  "</f>
        <v xml:space="preserve">0225-92-0211  </v>
      </c>
      <c r="F533" s="2" t="s">
        <v>6</v>
      </c>
      <c r="G533" s="2" t="s">
        <v>48</v>
      </c>
    </row>
    <row r="534" spans="1:7" x14ac:dyDescent="0.4">
      <c r="A534" s="2">
        <v>533</v>
      </c>
      <c r="B534" s="2" t="s">
        <v>1118</v>
      </c>
      <c r="C534" s="2" t="str">
        <f>"986-0868"</f>
        <v>986-0868</v>
      </c>
      <c r="D534" s="2" t="str">
        <f>"石巻市恵み野5丁目10-3"</f>
        <v>石巻市恵み野5丁目10-3</v>
      </c>
      <c r="E534" s="2" t="str">
        <f>"0225-98-9020  "</f>
        <v xml:space="preserve">0225-98-9020  </v>
      </c>
      <c r="F534" s="2" t="s">
        <v>9</v>
      </c>
      <c r="G534" s="2" t="s">
        <v>1063</v>
      </c>
    </row>
    <row r="535" spans="1:7" x14ac:dyDescent="0.4">
      <c r="A535" s="2">
        <v>534</v>
      </c>
      <c r="B535" s="2" t="s">
        <v>43</v>
      </c>
      <c r="C535" s="2" t="str">
        <f>"986-0811"</f>
        <v>986-0811</v>
      </c>
      <c r="D535" s="2" t="str">
        <f>"石巻市元倉1丁目9番9-8号"</f>
        <v>石巻市元倉1丁目9番9-8号</v>
      </c>
      <c r="E535" s="2" t="str">
        <f>"0225-23-0221  "</f>
        <v xml:space="preserve">0225-23-0221  </v>
      </c>
      <c r="F535" s="2" t="s">
        <v>6</v>
      </c>
      <c r="G535" s="2" t="s">
        <v>44</v>
      </c>
    </row>
    <row r="536" spans="1:7" x14ac:dyDescent="0.4">
      <c r="A536" s="2">
        <v>535</v>
      </c>
      <c r="B536" s="2" t="s">
        <v>1085</v>
      </c>
      <c r="C536" s="2" t="str">
        <f>"986-2112"</f>
        <v>986-2112</v>
      </c>
      <c r="D536" s="2" t="s">
        <v>1086</v>
      </c>
      <c r="E536" s="2" t="str">
        <f>"0225-25-0523  "</f>
        <v xml:space="preserve">0225-25-0523  </v>
      </c>
      <c r="F536" s="2" t="s">
        <v>9</v>
      </c>
      <c r="G536" s="2" t="s">
        <v>1063</v>
      </c>
    </row>
    <row r="537" spans="1:7" ht="37.5" x14ac:dyDescent="0.4">
      <c r="A537" s="2">
        <v>536</v>
      </c>
      <c r="B537" s="2" t="s">
        <v>83</v>
      </c>
      <c r="C537" s="2" t="str">
        <f>"986-0863"</f>
        <v>986-0863</v>
      </c>
      <c r="D537" s="2" t="str">
        <f>"石巻市向陽町２－１－１９"</f>
        <v>石巻市向陽町２－１－１９</v>
      </c>
      <c r="E537" s="2" t="str">
        <f>"0225-96-5252  "</f>
        <v xml:space="preserve">0225-96-5252  </v>
      </c>
      <c r="F537" s="2" t="s">
        <v>6</v>
      </c>
      <c r="G537" s="2" t="s">
        <v>84</v>
      </c>
    </row>
    <row r="538" spans="1:7" ht="56.25" x14ac:dyDescent="0.4">
      <c r="A538" s="2">
        <v>537</v>
      </c>
      <c r="B538" s="2" t="s">
        <v>85</v>
      </c>
      <c r="C538" s="2" t="str">
        <f>"987-1222"</f>
        <v>987-1222</v>
      </c>
      <c r="D538" s="2" t="s">
        <v>77</v>
      </c>
      <c r="E538" s="2" t="str">
        <f>"0225-73-5888  "</f>
        <v xml:space="preserve">0225-73-5888  </v>
      </c>
      <c r="F538" s="2" t="s">
        <v>6</v>
      </c>
      <c r="G538" s="2" t="s">
        <v>86</v>
      </c>
    </row>
    <row r="539" spans="1:7" x14ac:dyDescent="0.4">
      <c r="A539" s="2">
        <v>538</v>
      </c>
      <c r="B539" s="2" t="s">
        <v>1767</v>
      </c>
      <c r="C539" s="2" t="str">
        <f>"987-1222"</f>
        <v>987-1222</v>
      </c>
      <c r="D539" s="2" t="s">
        <v>1768</v>
      </c>
      <c r="E539" s="2" t="str">
        <f>"0225-73-5331  "</f>
        <v xml:space="preserve">0225-73-5331  </v>
      </c>
      <c r="F539" s="2" t="s">
        <v>11</v>
      </c>
      <c r="G539" s="2" t="s">
        <v>1151</v>
      </c>
    </row>
    <row r="540" spans="1:7" ht="37.5" x14ac:dyDescent="0.4">
      <c r="A540" s="2">
        <v>539</v>
      </c>
      <c r="B540" s="2" t="s">
        <v>1095</v>
      </c>
      <c r="C540" s="2" t="str">
        <f>"987-1222"</f>
        <v>987-1222</v>
      </c>
      <c r="D540" s="2" t="str">
        <f>"石巻市広渕字町南一２９４－３"</f>
        <v>石巻市広渕字町南一２９４－３</v>
      </c>
      <c r="E540" s="2" t="str">
        <f>"0225-73-2079  "</f>
        <v xml:space="preserve">0225-73-2079  </v>
      </c>
      <c r="F540" s="2" t="s">
        <v>9</v>
      </c>
      <c r="G540" s="2" t="s">
        <v>1063</v>
      </c>
    </row>
    <row r="541" spans="1:7" ht="37.5" x14ac:dyDescent="0.4">
      <c r="A541" s="2">
        <v>540</v>
      </c>
      <c r="B541" s="2" t="s">
        <v>63</v>
      </c>
      <c r="C541" s="2" t="str">
        <f>"987-1222"</f>
        <v>987-1222</v>
      </c>
      <c r="D541" s="2" t="str">
        <f>"石巻市広渕字町北７０－１"</f>
        <v>石巻市広渕字町北７０－１</v>
      </c>
      <c r="E541" s="2" t="str">
        <f>"0225-73-3811  "</f>
        <v xml:space="preserve">0225-73-3811  </v>
      </c>
      <c r="F541" s="2" t="s">
        <v>6</v>
      </c>
      <c r="G541" s="2" t="s">
        <v>61</v>
      </c>
    </row>
    <row r="542" spans="1:7" ht="37.5" x14ac:dyDescent="0.4">
      <c r="A542" s="2">
        <v>541</v>
      </c>
      <c r="B542" s="2" t="s">
        <v>89</v>
      </c>
      <c r="C542" s="2" t="str">
        <f>"987-1222"</f>
        <v>987-1222</v>
      </c>
      <c r="D542" s="2" t="s">
        <v>90</v>
      </c>
      <c r="E542" s="2" t="str">
        <f>"0225-73-2420  "</f>
        <v xml:space="preserve">0225-73-2420  </v>
      </c>
      <c r="F542" s="2" t="s">
        <v>6</v>
      </c>
      <c r="G542" s="2" t="s">
        <v>91</v>
      </c>
    </row>
    <row r="543" spans="1:7" ht="37.5" x14ac:dyDescent="0.4">
      <c r="A543" s="2">
        <v>542</v>
      </c>
      <c r="B543" s="2" t="s">
        <v>1133</v>
      </c>
      <c r="C543" s="2" t="str">
        <f>"987-1222"</f>
        <v>987-1222</v>
      </c>
      <c r="D543" s="2" t="s">
        <v>1134</v>
      </c>
      <c r="E543" s="2" t="str">
        <f>"0225-86-4268  "</f>
        <v xml:space="preserve">0225-86-4268  </v>
      </c>
      <c r="F543" s="2" t="s">
        <v>9</v>
      </c>
      <c r="G543" s="2" t="s">
        <v>1129</v>
      </c>
    </row>
    <row r="544" spans="1:7" ht="37.5" x14ac:dyDescent="0.4">
      <c r="A544" s="2">
        <v>543</v>
      </c>
      <c r="B544" s="2" t="s">
        <v>23</v>
      </c>
      <c r="C544" s="2" t="str">
        <f>"986-0825"</f>
        <v>986-0825</v>
      </c>
      <c r="D544" s="2" t="str">
        <f>"石巻市穀町　５－２４"</f>
        <v>石巻市穀町　５－２４</v>
      </c>
      <c r="E544" s="2" t="str">
        <f>"0225-23-0125  "</f>
        <v xml:space="preserve">0225-23-0125  </v>
      </c>
      <c r="F544" s="2" t="s">
        <v>6</v>
      </c>
      <c r="G544" s="2" t="s">
        <v>24</v>
      </c>
    </row>
    <row r="545" spans="1:7" x14ac:dyDescent="0.4">
      <c r="A545" s="2">
        <v>544</v>
      </c>
      <c r="B545" s="2" t="s">
        <v>1120</v>
      </c>
      <c r="C545" s="2" t="str">
        <f>"986-0825"</f>
        <v>986-0825</v>
      </c>
      <c r="D545" s="2" t="str">
        <f>"石巻市穀町１２－１８"</f>
        <v>石巻市穀町１２－１８</v>
      </c>
      <c r="E545" s="2" t="str">
        <f>"0225-24-6463  "</f>
        <v xml:space="preserve">0225-24-6463  </v>
      </c>
      <c r="F545" s="2" t="s">
        <v>9</v>
      </c>
      <c r="G545" s="2" t="s">
        <v>1063</v>
      </c>
    </row>
    <row r="546" spans="1:7" ht="75" x14ac:dyDescent="0.4">
      <c r="A546" s="2">
        <v>545</v>
      </c>
      <c r="B546" s="2" t="s">
        <v>107</v>
      </c>
      <c r="C546" s="2" t="str">
        <f>"986-0825"</f>
        <v>986-0825</v>
      </c>
      <c r="D546" s="2" t="s">
        <v>108</v>
      </c>
      <c r="E546" s="2" t="str">
        <f>"0225-25-5555  "</f>
        <v xml:space="preserve">0225-25-5555  </v>
      </c>
      <c r="F546" s="2" t="s">
        <v>6</v>
      </c>
      <c r="G546" s="2" t="s">
        <v>109</v>
      </c>
    </row>
    <row r="547" spans="1:7" x14ac:dyDescent="0.4">
      <c r="A547" s="2">
        <v>546</v>
      </c>
      <c r="B547" s="2" t="s">
        <v>1065</v>
      </c>
      <c r="C547" s="2" t="str">
        <f>"986-0825"</f>
        <v>986-0825</v>
      </c>
      <c r="D547" s="2" t="str">
        <f>"石巻市穀町５－２５"</f>
        <v>石巻市穀町５－２５</v>
      </c>
      <c r="E547" s="2" t="str">
        <f>"0225-23-0128  "</f>
        <v xml:space="preserve">0225-23-0128  </v>
      </c>
      <c r="F547" s="2" t="s">
        <v>9</v>
      </c>
      <c r="G547" s="2" t="s">
        <v>1063</v>
      </c>
    </row>
    <row r="548" spans="1:7" x14ac:dyDescent="0.4">
      <c r="A548" s="2">
        <v>547</v>
      </c>
      <c r="B548" s="2" t="s">
        <v>1119</v>
      </c>
      <c r="C548" s="2" t="str">
        <f>"986-0825"</f>
        <v>986-0825</v>
      </c>
      <c r="D548" s="2" t="str">
        <f>"石巻市穀町６－１７"</f>
        <v>石巻市穀町６－１７</v>
      </c>
      <c r="E548" s="2" t="str">
        <f>"0225-98-9956  "</f>
        <v xml:space="preserve">0225-98-9956  </v>
      </c>
      <c r="F548" s="2" t="s">
        <v>9</v>
      </c>
      <c r="G548" s="2" t="s">
        <v>1063</v>
      </c>
    </row>
    <row r="549" spans="1:7" ht="56.25" x14ac:dyDescent="0.4">
      <c r="A549" s="2">
        <v>548</v>
      </c>
      <c r="B549" s="2" t="s">
        <v>21</v>
      </c>
      <c r="C549" s="2" t="str">
        <f>"986-0873"</f>
        <v>986-0873</v>
      </c>
      <c r="D549" s="2" t="str">
        <f>"石巻市山下町　１－７－２４"</f>
        <v>石巻市山下町　１－７－２４</v>
      </c>
      <c r="E549" s="2" t="str">
        <f>"0225-96-3251  "</f>
        <v xml:space="preserve">0225-96-3251  </v>
      </c>
      <c r="F549" s="2" t="s">
        <v>6</v>
      </c>
      <c r="G549" s="2" t="s">
        <v>22</v>
      </c>
    </row>
    <row r="550" spans="1:7" ht="37.5" x14ac:dyDescent="0.4">
      <c r="A550" s="2">
        <v>549</v>
      </c>
      <c r="B550" s="2" t="s">
        <v>920</v>
      </c>
      <c r="C550" s="2" t="str">
        <f>"986-0873"</f>
        <v>986-0873</v>
      </c>
      <c r="D550" s="2" t="str">
        <f>"石巻市山下町１－７－２６シェモア１F"</f>
        <v>石巻市山下町１－７－２６シェモア１F</v>
      </c>
      <c r="E550" s="2" t="str">
        <f>"0225-28-7510  "</f>
        <v xml:space="preserve">0225-28-7510  </v>
      </c>
      <c r="F550" s="2" t="s">
        <v>10</v>
      </c>
      <c r="G550" s="2" t="s">
        <v>10</v>
      </c>
    </row>
    <row r="551" spans="1:7" ht="37.5" x14ac:dyDescent="0.4">
      <c r="A551" s="2">
        <v>550</v>
      </c>
      <c r="B551" s="2" t="s">
        <v>1763</v>
      </c>
      <c r="C551" s="2" t="str">
        <f>"986-0873"</f>
        <v>986-0873</v>
      </c>
      <c r="D551" s="2" t="str">
        <f>"石巻市山下町１丁目７－２４"</f>
        <v>石巻市山下町１丁目７－２４</v>
      </c>
      <c r="E551" s="2" t="str">
        <f>"0225-23-4228  "</f>
        <v xml:space="preserve">0225-23-4228  </v>
      </c>
      <c r="F551" s="2" t="s">
        <v>11</v>
      </c>
      <c r="G551" s="2" t="s">
        <v>1151</v>
      </c>
    </row>
    <row r="552" spans="1:7" ht="37.5" x14ac:dyDescent="0.4">
      <c r="A552" s="2">
        <v>551</v>
      </c>
      <c r="B552" s="2" t="s">
        <v>1117</v>
      </c>
      <c r="C552" s="2" t="str">
        <f>"986-0873"</f>
        <v>986-0873</v>
      </c>
      <c r="D552" s="2" t="s">
        <v>1066</v>
      </c>
      <c r="E552" s="2" t="str">
        <f>"0225-93-1871  "</f>
        <v xml:space="preserve">0225-93-1871  </v>
      </c>
      <c r="F552" s="2" t="s">
        <v>9</v>
      </c>
      <c r="G552" s="2" t="s">
        <v>1063</v>
      </c>
    </row>
    <row r="553" spans="1:7" ht="37.5" x14ac:dyDescent="0.4">
      <c r="A553" s="2">
        <v>552</v>
      </c>
      <c r="B553" s="2" t="s">
        <v>15</v>
      </c>
      <c r="C553" s="2" t="str">
        <f>"986-0873"</f>
        <v>986-0873</v>
      </c>
      <c r="D553" s="2" t="str">
        <f>"石巻市山下町２－５－７"</f>
        <v>石巻市山下町２－５－７</v>
      </c>
      <c r="E553" s="2" t="str">
        <f>"0225-22-5431  "</f>
        <v xml:space="preserve">0225-22-5431  </v>
      </c>
      <c r="F553" s="2" t="s">
        <v>6</v>
      </c>
      <c r="G553" s="2" t="s">
        <v>16</v>
      </c>
    </row>
    <row r="554" spans="1:7" ht="37.5" x14ac:dyDescent="0.4">
      <c r="A554" s="2">
        <v>553</v>
      </c>
      <c r="B554" s="2" t="s">
        <v>39</v>
      </c>
      <c r="C554" s="2" t="str">
        <f>"986-0042"</f>
        <v>986-0042</v>
      </c>
      <c r="D554" s="2" t="str">
        <f>"石巻市鹿妻南１－１３－１６"</f>
        <v>石巻市鹿妻南１－１３－１６</v>
      </c>
      <c r="E554" s="2" t="str">
        <f>"0225-96-7700  "</f>
        <v xml:space="preserve">0225-96-7700  </v>
      </c>
      <c r="F554" s="2" t="s">
        <v>6</v>
      </c>
      <c r="G554" s="2" t="s">
        <v>40</v>
      </c>
    </row>
    <row r="555" spans="1:7" ht="37.5" x14ac:dyDescent="0.4">
      <c r="A555" s="2">
        <v>554</v>
      </c>
      <c r="B555" s="2" t="s">
        <v>912</v>
      </c>
      <c r="C555" s="2" t="str">
        <f>"986-0042"</f>
        <v>986-0042</v>
      </c>
      <c r="D555" s="2" t="str">
        <f>"石巻市鹿妻南１丁目１３－１６"</f>
        <v>石巻市鹿妻南１丁目１３－１６</v>
      </c>
      <c r="E555" s="2" t="str">
        <f>"0225-93-6480  "</f>
        <v xml:space="preserve">0225-93-6480  </v>
      </c>
      <c r="F555" s="2" t="s">
        <v>6</v>
      </c>
      <c r="G555" s="2" t="s">
        <v>902</v>
      </c>
    </row>
    <row r="556" spans="1:7" ht="37.5" x14ac:dyDescent="0.4">
      <c r="A556" s="2">
        <v>555</v>
      </c>
      <c r="B556" s="2" t="s">
        <v>1073</v>
      </c>
      <c r="C556" s="2" t="str">
        <f>"986-0042"</f>
        <v>986-0042</v>
      </c>
      <c r="D556" s="2" t="str">
        <f>"石巻市鹿妻南２丁目９－１"</f>
        <v>石巻市鹿妻南２丁目９－１</v>
      </c>
      <c r="E556" s="2" t="str">
        <f>"0225-94-9032  "</f>
        <v xml:space="preserve">0225-94-9032  </v>
      </c>
      <c r="F556" s="2" t="s">
        <v>9</v>
      </c>
      <c r="G556" s="2" t="s">
        <v>1063</v>
      </c>
    </row>
    <row r="557" spans="1:7" ht="37.5" x14ac:dyDescent="0.4">
      <c r="A557" s="2">
        <v>556</v>
      </c>
      <c r="B557" s="2" t="s">
        <v>1088</v>
      </c>
      <c r="C557" s="2" t="str">
        <f>"986-0043"</f>
        <v>986-0043</v>
      </c>
      <c r="D557" s="2" t="str">
        <f>"石巻市鹿妻北　２－２－１７"</f>
        <v>石巻市鹿妻北　２－２－１７</v>
      </c>
      <c r="E557" s="2" t="str">
        <f>"0225-92-5011  "</f>
        <v xml:space="preserve">0225-92-5011  </v>
      </c>
      <c r="F557" s="2" t="s">
        <v>9</v>
      </c>
      <c r="G557" s="2" t="s">
        <v>1063</v>
      </c>
    </row>
    <row r="558" spans="1:7" ht="37.5" x14ac:dyDescent="0.4">
      <c r="A558" s="2">
        <v>557</v>
      </c>
      <c r="B558" s="2" t="s">
        <v>51</v>
      </c>
      <c r="C558" s="2" t="str">
        <f>"986-0043"</f>
        <v>986-0043</v>
      </c>
      <c r="D558" s="2" t="str">
        <f>"石巻市鹿妻北１－６－１５"</f>
        <v>石巻市鹿妻北１－６－１５</v>
      </c>
      <c r="E558" s="2" t="str">
        <f>"0225-92-7707  "</f>
        <v xml:space="preserve">0225-92-7707  </v>
      </c>
      <c r="F558" s="2" t="s">
        <v>6</v>
      </c>
      <c r="G558" s="2" t="s">
        <v>42</v>
      </c>
    </row>
    <row r="559" spans="1:7" ht="37.5" x14ac:dyDescent="0.4">
      <c r="A559" s="2">
        <v>558</v>
      </c>
      <c r="B559" s="2" t="s">
        <v>1093</v>
      </c>
      <c r="C559" s="2" t="str">
        <f>"986-1111"</f>
        <v>986-1111</v>
      </c>
      <c r="D559" s="2" t="s">
        <v>1094</v>
      </c>
      <c r="E559" s="2" t="str">
        <f>"0225-75-3646  "</f>
        <v xml:space="preserve">0225-75-3646  </v>
      </c>
      <c r="F559" s="2" t="s">
        <v>9</v>
      </c>
      <c r="G559" s="2" t="s">
        <v>1063</v>
      </c>
    </row>
    <row r="560" spans="1:7" ht="37.5" x14ac:dyDescent="0.4">
      <c r="A560" s="2">
        <v>559</v>
      </c>
      <c r="B560" s="2" t="s">
        <v>65</v>
      </c>
      <c r="C560" s="2" t="str">
        <f>"986-1111"</f>
        <v>986-1111</v>
      </c>
      <c r="D560" s="2" t="s">
        <v>66</v>
      </c>
      <c r="E560" s="2" t="str">
        <f>"0225-75-2325  "</f>
        <v xml:space="preserve">0225-75-2325  </v>
      </c>
      <c r="F560" s="2" t="s">
        <v>6</v>
      </c>
      <c r="G560" s="2" t="s">
        <v>61</v>
      </c>
    </row>
    <row r="561" spans="1:7" x14ac:dyDescent="0.4">
      <c r="A561" s="2">
        <v>560</v>
      </c>
      <c r="B561" s="2" t="s">
        <v>1092</v>
      </c>
      <c r="C561" s="2" t="str">
        <f>"986-1111"</f>
        <v>986-1111</v>
      </c>
      <c r="D561" s="2" t="s">
        <v>1150</v>
      </c>
      <c r="E561" s="2" t="str">
        <f>"0225-75-2089  "</f>
        <v xml:space="preserve">0225-75-2089  </v>
      </c>
      <c r="F561" s="2" t="s">
        <v>9</v>
      </c>
      <c r="G561" s="2" t="s">
        <v>1063</v>
      </c>
    </row>
    <row r="562" spans="1:7" ht="37.5" x14ac:dyDescent="0.4">
      <c r="A562" s="2">
        <v>561</v>
      </c>
      <c r="B562" s="2" t="s">
        <v>921</v>
      </c>
      <c r="C562" s="2" t="str">
        <f>"986-1111"</f>
        <v>986-1111</v>
      </c>
      <c r="D562" s="2" t="s">
        <v>922</v>
      </c>
      <c r="E562" s="2" t="str">
        <f>"0225-25-7118  "</f>
        <v xml:space="preserve">0225-25-7118  </v>
      </c>
      <c r="F562" s="2" t="s">
        <v>10</v>
      </c>
      <c r="G562" s="2" t="s">
        <v>923</v>
      </c>
    </row>
    <row r="563" spans="1:7" ht="37.5" x14ac:dyDescent="0.4">
      <c r="A563" s="2">
        <v>562</v>
      </c>
      <c r="B563" s="2" t="s">
        <v>67</v>
      </c>
      <c r="C563" s="2" t="str">
        <f>"986-1111"</f>
        <v>986-1111</v>
      </c>
      <c r="D563" s="2" t="str">
        <f>"石巻市鹿又字八幡前　１７－４"</f>
        <v>石巻市鹿又字八幡前　１７－４</v>
      </c>
      <c r="E563" s="2" t="str">
        <f>"0225-74-2244  "</f>
        <v xml:space="preserve">0225-74-2244  </v>
      </c>
      <c r="F563" s="2" t="s">
        <v>6</v>
      </c>
      <c r="G563" s="2" t="s">
        <v>38</v>
      </c>
    </row>
    <row r="564" spans="1:7" ht="37.5" x14ac:dyDescent="0.4">
      <c r="A564" s="2">
        <v>563</v>
      </c>
      <c r="B564" s="2" t="s">
        <v>116</v>
      </c>
      <c r="C564" s="2" t="str">
        <f>"986-0861"</f>
        <v>986-0861</v>
      </c>
      <c r="D564" s="2" t="str">
        <f>"石巻市蛇田金津町１３－１４"</f>
        <v>石巻市蛇田金津町１３－１４</v>
      </c>
      <c r="E564" s="2" t="str">
        <f>"0225-98-3710  "</f>
        <v xml:space="preserve">0225-98-3710  </v>
      </c>
      <c r="F564" s="2" t="s">
        <v>6</v>
      </c>
      <c r="G564" s="2" t="s">
        <v>84</v>
      </c>
    </row>
    <row r="565" spans="1:7" ht="37.5" x14ac:dyDescent="0.4">
      <c r="A565" s="2">
        <v>564</v>
      </c>
      <c r="B565" s="2" t="s">
        <v>99</v>
      </c>
      <c r="C565" s="2" t="str">
        <f>"986-0861"</f>
        <v>986-0861</v>
      </c>
      <c r="D565" s="2" t="str">
        <f>"石巻市蛇田字下中埣２７－２７"</f>
        <v>石巻市蛇田字下中埣２７－２７</v>
      </c>
      <c r="E565" s="2" t="str">
        <f>"0225-98-3671  "</f>
        <v xml:space="preserve">0225-98-3671  </v>
      </c>
      <c r="F565" s="2" t="s">
        <v>6</v>
      </c>
      <c r="G565" s="2" t="s">
        <v>100</v>
      </c>
    </row>
    <row r="566" spans="1:7" ht="37.5" x14ac:dyDescent="0.4">
      <c r="A566" s="2">
        <v>565</v>
      </c>
      <c r="B566" s="2" t="s">
        <v>1144</v>
      </c>
      <c r="C566" s="2" t="str">
        <f>"986-0861"</f>
        <v>986-0861</v>
      </c>
      <c r="D566" s="2" t="str">
        <f>"石巻市蛇田字金津町１３－１５"</f>
        <v>石巻市蛇田字金津町１３－１５</v>
      </c>
      <c r="E566" s="2" t="str">
        <f>"0225-25-7631  "</f>
        <v xml:space="preserve">0225-25-7631  </v>
      </c>
      <c r="F566" s="2" t="s">
        <v>9</v>
      </c>
      <c r="G566" s="2" t="s">
        <v>1063</v>
      </c>
    </row>
    <row r="567" spans="1:7" ht="37.5" x14ac:dyDescent="0.4">
      <c r="A567" s="2">
        <v>566</v>
      </c>
      <c r="B567" s="2" t="s">
        <v>1124</v>
      </c>
      <c r="C567" s="2" t="str">
        <f>"986-0861"</f>
        <v>986-0861</v>
      </c>
      <c r="D567" s="2" t="str">
        <f>"石巻市蛇田字新丸井戸４４－１"</f>
        <v>石巻市蛇田字新丸井戸４４－１</v>
      </c>
      <c r="E567" s="2" t="str">
        <f>"0225-21-8268  "</f>
        <v xml:space="preserve">0225-21-8268  </v>
      </c>
      <c r="F567" s="2" t="s">
        <v>9</v>
      </c>
      <c r="G567" s="2" t="s">
        <v>1063</v>
      </c>
    </row>
    <row r="568" spans="1:7" ht="37.5" x14ac:dyDescent="0.4">
      <c r="A568" s="2">
        <v>567</v>
      </c>
      <c r="B568" s="2" t="s">
        <v>1081</v>
      </c>
      <c r="C568" s="2" t="str">
        <f>"986-0861"</f>
        <v>986-0861</v>
      </c>
      <c r="D568" s="2" t="s">
        <v>1082</v>
      </c>
      <c r="E568" s="2" t="str">
        <f>"0225-22-0489  "</f>
        <v xml:space="preserve">0225-22-0489  </v>
      </c>
      <c r="F568" s="2" t="s">
        <v>9</v>
      </c>
      <c r="G568" s="2" t="s">
        <v>1063</v>
      </c>
    </row>
    <row r="569" spans="1:7" ht="37.5" x14ac:dyDescent="0.4">
      <c r="A569" s="2">
        <v>568</v>
      </c>
      <c r="B569" s="2" t="s">
        <v>906</v>
      </c>
      <c r="C569" s="2" t="str">
        <f>"986-0861"</f>
        <v>986-0861</v>
      </c>
      <c r="D569" s="2" t="s">
        <v>907</v>
      </c>
      <c r="E569" s="2" t="str">
        <f>"0225-94-1771  "</f>
        <v xml:space="preserve">0225-94-1771  </v>
      </c>
      <c r="F569" s="2" t="s">
        <v>6</v>
      </c>
      <c r="G569" s="2" t="s">
        <v>10</v>
      </c>
    </row>
    <row r="570" spans="1:7" ht="37.5" x14ac:dyDescent="0.4">
      <c r="A570" s="2">
        <v>569</v>
      </c>
      <c r="B570" s="2" t="s">
        <v>1114</v>
      </c>
      <c r="C570" s="2" t="str">
        <f>"986-0861"</f>
        <v>986-0861</v>
      </c>
      <c r="D570" s="2" t="str">
        <f>"石巻市蛇田字新埣寺１４１－３"</f>
        <v>石巻市蛇田字新埣寺１４１－３</v>
      </c>
      <c r="E570" s="2" t="str">
        <f>"0225-98-4513  "</f>
        <v xml:space="preserve">0225-98-4513  </v>
      </c>
      <c r="F570" s="2" t="s">
        <v>9</v>
      </c>
      <c r="G570" s="2" t="s">
        <v>1063</v>
      </c>
    </row>
    <row r="571" spans="1:7" ht="168.75" x14ac:dyDescent="0.4">
      <c r="A571" s="2">
        <v>570</v>
      </c>
      <c r="B571" s="2" t="s">
        <v>12</v>
      </c>
      <c r="C571" s="2" t="str">
        <f>"986-0861"</f>
        <v>986-0861</v>
      </c>
      <c r="D571" s="2" t="s">
        <v>13</v>
      </c>
      <c r="E571" s="2" t="str">
        <f>"0225-21-7220  "</f>
        <v xml:space="preserve">0225-21-7220  </v>
      </c>
      <c r="F571" s="2" t="s">
        <v>6</v>
      </c>
      <c r="G571" s="2" t="s">
        <v>14</v>
      </c>
    </row>
    <row r="572" spans="1:7" x14ac:dyDescent="0.4">
      <c r="A572" s="2">
        <v>571</v>
      </c>
      <c r="B572" s="2" t="s">
        <v>1147</v>
      </c>
      <c r="C572" s="2" t="str">
        <f>"986-0861"</f>
        <v>986-0861</v>
      </c>
      <c r="D572" s="2" t="str">
        <f>"石巻市蛇田字中埣27-10"</f>
        <v>石巻市蛇田字中埣27-10</v>
      </c>
      <c r="E572" s="2" t="str">
        <f>"0225-98-3631  "</f>
        <v xml:space="preserve">0225-98-3631  </v>
      </c>
      <c r="F572" s="2" t="s">
        <v>9</v>
      </c>
      <c r="G572" s="2" t="s">
        <v>1063</v>
      </c>
    </row>
    <row r="573" spans="1:7" ht="37.5" x14ac:dyDescent="0.4">
      <c r="A573" s="2">
        <v>572</v>
      </c>
      <c r="B573" s="2" t="s">
        <v>41</v>
      </c>
      <c r="C573" s="2" t="str">
        <f>"986-0861"</f>
        <v>986-0861</v>
      </c>
      <c r="D573" s="2" t="str">
        <f>"石巻市蛇田字東道下　４８－１"</f>
        <v>石巻市蛇田字東道下　４８－１</v>
      </c>
      <c r="E573" s="2" t="str">
        <f>"0225-23-2111  "</f>
        <v xml:space="preserve">0225-23-2111  </v>
      </c>
      <c r="F573" s="2" t="s">
        <v>6</v>
      </c>
      <c r="G573" s="2" t="s">
        <v>42</v>
      </c>
    </row>
    <row r="574" spans="1:7" x14ac:dyDescent="0.4">
      <c r="A574" s="2">
        <v>573</v>
      </c>
      <c r="B574" s="2" t="s">
        <v>1072</v>
      </c>
      <c r="C574" s="2" t="str">
        <f>"986-0861"</f>
        <v>986-0861</v>
      </c>
      <c r="D574" s="2" t="str">
        <f>"石巻市蛇田字東道下48-4"</f>
        <v>石巻市蛇田字東道下48-4</v>
      </c>
      <c r="E574" s="2" t="str">
        <f>"0225-23-2010  "</f>
        <v xml:space="preserve">0225-23-2010  </v>
      </c>
      <c r="F574" s="2" t="s">
        <v>9</v>
      </c>
      <c r="G574" s="2" t="s">
        <v>1063</v>
      </c>
    </row>
    <row r="575" spans="1:7" ht="56.25" x14ac:dyDescent="0.4">
      <c r="A575" s="2">
        <v>574</v>
      </c>
      <c r="B575" s="2" t="s">
        <v>1769</v>
      </c>
      <c r="C575" s="2" t="str">
        <f>"986-0861"</f>
        <v>986-0861</v>
      </c>
      <c r="D575" s="2" t="str">
        <f>"石巻市蛇田字南久林１４－３ユニバーサルⅠー１０２"</f>
        <v>石巻市蛇田字南久林１４－３ユニバーサルⅠー１０２</v>
      </c>
      <c r="E575" s="2" t="str">
        <f>"0225-98-6491  "</f>
        <v xml:space="preserve">0225-98-6491  </v>
      </c>
      <c r="F575" s="2" t="s">
        <v>11</v>
      </c>
      <c r="G575" s="2" t="s">
        <v>1151</v>
      </c>
    </row>
    <row r="576" spans="1:7" ht="37.5" x14ac:dyDescent="0.4">
      <c r="A576" s="2">
        <v>575</v>
      </c>
      <c r="B576" s="2" t="s">
        <v>55</v>
      </c>
      <c r="C576" s="2" t="str">
        <f>"986-0861"</f>
        <v>986-0861</v>
      </c>
      <c r="D576" s="2" t="str">
        <f>"石巻市蛇田字南経塚　７－３"</f>
        <v>石巻市蛇田字南経塚　７－３</v>
      </c>
      <c r="E576" s="2" t="str">
        <f>"0225-22-0789  "</f>
        <v xml:space="preserve">0225-22-0789  </v>
      </c>
      <c r="F576" s="2" t="s">
        <v>6</v>
      </c>
      <c r="G576" s="2" t="s">
        <v>56</v>
      </c>
    </row>
    <row r="577" spans="1:7" ht="37.5" x14ac:dyDescent="0.4">
      <c r="A577" s="2">
        <v>576</v>
      </c>
      <c r="B577" s="2" t="s">
        <v>1083</v>
      </c>
      <c r="C577" s="2" t="str">
        <f>"986-0861"</f>
        <v>986-0861</v>
      </c>
      <c r="D577" s="2" t="s">
        <v>1084</v>
      </c>
      <c r="E577" s="2" t="str">
        <f>"0225-23-3833  "</f>
        <v xml:space="preserve">0225-23-3833  </v>
      </c>
      <c r="F577" s="2" t="s">
        <v>9</v>
      </c>
      <c r="G577" s="2" t="s">
        <v>1063</v>
      </c>
    </row>
    <row r="578" spans="1:7" x14ac:dyDescent="0.4">
      <c r="A578" s="2">
        <v>577</v>
      </c>
      <c r="B578" s="2" t="s">
        <v>1076</v>
      </c>
      <c r="C578" s="2" t="str">
        <f>"986-0861"</f>
        <v>986-0861</v>
      </c>
      <c r="D578" s="2" t="str">
        <f>"石巻市蛇田字北経塚67-4"</f>
        <v>石巻市蛇田字北経塚67-4</v>
      </c>
      <c r="E578" s="2" t="str">
        <f>"0225-95-4089  "</f>
        <v xml:space="preserve">0225-95-4089  </v>
      </c>
      <c r="F578" s="2" t="s">
        <v>9</v>
      </c>
      <c r="G578" s="2" t="s">
        <v>1063</v>
      </c>
    </row>
    <row r="579" spans="1:7" ht="37.5" x14ac:dyDescent="0.4">
      <c r="A579" s="2">
        <v>578</v>
      </c>
      <c r="B579" s="2" t="s">
        <v>1127</v>
      </c>
      <c r="C579" s="2" t="str">
        <f>"986-0821"</f>
        <v>986-0821</v>
      </c>
      <c r="D579" s="2" t="str">
        <f>"石巻市住吉町1丁目８－４6"</f>
        <v>石巻市住吉町1丁目８－４6</v>
      </c>
      <c r="E579" s="2" t="str">
        <f>"0225-96-4606  "</f>
        <v xml:space="preserve">0225-96-4606  </v>
      </c>
      <c r="F579" s="2" t="s">
        <v>9</v>
      </c>
      <c r="G579" s="2" t="s">
        <v>1063</v>
      </c>
    </row>
    <row r="580" spans="1:7" ht="37.5" x14ac:dyDescent="0.4">
      <c r="A580" s="2">
        <v>579</v>
      </c>
      <c r="B580" s="2" t="s">
        <v>105</v>
      </c>
      <c r="C580" s="2" t="str">
        <f>"986-0821"</f>
        <v>986-0821</v>
      </c>
      <c r="D580" s="2" t="s">
        <v>106</v>
      </c>
      <c r="E580" s="2" t="str">
        <f>"0225-22-3277  "</f>
        <v xml:space="preserve">0225-22-3277  </v>
      </c>
      <c r="F580" s="2" t="s">
        <v>6</v>
      </c>
      <c r="G580" s="2" t="s">
        <v>38</v>
      </c>
    </row>
    <row r="581" spans="1:7" x14ac:dyDescent="0.4">
      <c r="A581" s="2">
        <v>580</v>
      </c>
      <c r="B581" s="2" t="s">
        <v>1775</v>
      </c>
      <c r="C581" s="2" t="str">
        <f>"986-0132"</f>
        <v>986-0132</v>
      </c>
      <c r="D581" s="2" t="s">
        <v>1776</v>
      </c>
      <c r="E581" s="2" t="str">
        <f>"0225-25-6245  "</f>
        <v xml:space="preserve">0225-25-6245  </v>
      </c>
      <c r="F581" s="2" t="s">
        <v>11</v>
      </c>
      <c r="G581" s="2" t="s">
        <v>1151</v>
      </c>
    </row>
    <row r="582" spans="1:7" x14ac:dyDescent="0.4">
      <c r="A582" s="2">
        <v>581</v>
      </c>
      <c r="B582" s="2" t="s">
        <v>1068</v>
      </c>
      <c r="C582" s="2" t="str">
        <f>"986-0878"</f>
        <v>986-0878</v>
      </c>
      <c r="D582" s="2" t="s">
        <v>1069</v>
      </c>
      <c r="E582" s="2" t="str">
        <f>"0225-95-0531  "</f>
        <v xml:space="preserve">0225-95-0531  </v>
      </c>
      <c r="F582" s="2" t="s">
        <v>9</v>
      </c>
      <c r="G582" s="2" t="s">
        <v>1063</v>
      </c>
    </row>
    <row r="583" spans="1:7" x14ac:dyDescent="0.4">
      <c r="A583" s="2">
        <v>582</v>
      </c>
      <c r="B583" s="2" t="s">
        <v>111</v>
      </c>
      <c r="C583" s="2" t="str">
        <f>"986-0878"</f>
        <v>986-0878</v>
      </c>
      <c r="D583" s="2" t="str">
        <f>"石巻市新橋　５－３３"</f>
        <v>石巻市新橋　５－３３</v>
      </c>
      <c r="E583" s="2" t="str">
        <f>"0225-23-2151  "</f>
        <v xml:space="preserve">0225-23-2151  </v>
      </c>
      <c r="F583" s="2" t="s">
        <v>6</v>
      </c>
      <c r="G583" s="2" t="s">
        <v>8</v>
      </c>
    </row>
    <row r="584" spans="1:7" x14ac:dyDescent="0.4">
      <c r="A584" s="2">
        <v>583</v>
      </c>
      <c r="B584" s="2" t="s">
        <v>1115</v>
      </c>
      <c r="C584" s="2" t="str">
        <f>"986-0878"</f>
        <v>986-0878</v>
      </c>
      <c r="D584" s="2" t="str">
        <f>"石巻市新橋1-35"</f>
        <v>石巻市新橋1-35</v>
      </c>
      <c r="E584" s="2" t="str">
        <f>"0225-24-8250  "</f>
        <v xml:space="preserve">0225-24-8250  </v>
      </c>
      <c r="F584" s="2" t="s">
        <v>9</v>
      </c>
      <c r="G584" s="2" t="s">
        <v>1063</v>
      </c>
    </row>
    <row r="585" spans="1:7" x14ac:dyDescent="0.4">
      <c r="A585" s="2">
        <v>584</v>
      </c>
      <c r="B585" s="2" t="s">
        <v>110</v>
      </c>
      <c r="C585" s="2" t="str">
        <f>"986-0878"</f>
        <v>986-0878</v>
      </c>
      <c r="D585" s="2" t="str">
        <f>"石巻市新橋3-11"</f>
        <v>石巻市新橋3-11</v>
      </c>
      <c r="E585" s="2" t="str">
        <f>"0225-25-7315  "</f>
        <v xml:space="preserve">0225-25-7315  </v>
      </c>
      <c r="F585" s="2" t="s">
        <v>6</v>
      </c>
      <c r="G585" s="2" t="s">
        <v>48</v>
      </c>
    </row>
    <row r="586" spans="1:7" ht="37.5" x14ac:dyDescent="0.4">
      <c r="A586" s="2">
        <v>585</v>
      </c>
      <c r="B586" s="2" t="s">
        <v>112</v>
      </c>
      <c r="C586" s="2" t="str">
        <f>"987-1221"</f>
        <v>987-1221</v>
      </c>
      <c r="D586" s="2" t="s">
        <v>113</v>
      </c>
      <c r="E586" s="2" t="str">
        <f>"0225-24-9499  "</f>
        <v xml:space="preserve">0225-24-9499  </v>
      </c>
      <c r="F586" s="2" t="s">
        <v>6</v>
      </c>
      <c r="G586" s="2" t="s">
        <v>115</v>
      </c>
    </row>
    <row r="587" spans="1:7" ht="37.5" x14ac:dyDescent="0.4">
      <c r="A587" s="2">
        <v>586</v>
      </c>
      <c r="B587" s="2" t="s">
        <v>1146</v>
      </c>
      <c r="C587" s="2" t="str">
        <f>"987-1221"</f>
        <v>987-1221</v>
      </c>
      <c r="D587" s="2" t="str">
        <f>"石巻市須江字舘山根１０７－１"</f>
        <v>石巻市須江字舘山根１０７－１</v>
      </c>
      <c r="E587" s="2" t="str">
        <f>"0225-25-7182  "</f>
        <v xml:space="preserve">0225-25-7182  </v>
      </c>
      <c r="F587" s="2" t="s">
        <v>9</v>
      </c>
      <c r="G587" s="2" t="s">
        <v>1063</v>
      </c>
    </row>
    <row r="588" spans="1:7" ht="37.5" x14ac:dyDescent="0.4">
      <c r="A588" s="2">
        <v>587</v>
      </c>
      <c r="B588" s="2" t="s">
        <v>1142</v>
      </c>
      <c r="C588" s="2" t="str">
        <f>"987-1221"</f>
        <v>987-1221</v>
      </c>
      <c r="D588" s="2" t="s">
        <v>1143</v>
      </c>
      <c r="E588" s="2" t="str">
        <f>"0225-25-7182  "</f>
        <v xml:space="preserve">0225-25-7182  </v>
      </c>
      <c r="F588" s="2" t="s">
        <v>9</v>
      </c>
      <c r="G588" s="2" t="s">
        <v>1063</v>
      </c>
    </row>
    <row r="589" spans="1:7" x14ac:dyDescent="0.4">
      <c r="A589" s="2">
        <v>588</v>
      </c>
      <c r="B589" s="2" t="s">
        <v>1128</v>
      </c>
      <c r="C589" s="2" t="str">
        <f>"987-1221"</f>
        <v>987-1221</v>
      </c>
      <c r="D589" s="2" t="str">
        <f>"石巻市須江字皮?105-4"</f>
        <v>石巻市須江字皮?105-4</v>
      </c>
      <c r="E589" s="2" t="str">
        <f>"0225-24-6591  "</f>
        <v xml:space="preserve">0225-24-6591  </v>
      </c>
      <c r="F589" s="2" t="s">
        <v>9</v>
      </c>
      <c r="G589" s="2" t="s">
        <v>1063</v>
      </c>
    </row>
    <row r="590" spans="1:7" ht="37.5" x14ac:dyDescent="0.4">
      <c r="A590" s="2">
        <v>589</v>
      </c>
      <c r="B590" s="2" t="s">
        <v>117</v>
      </c>
      <c r="C590" s="2" t="str">
        <f>"987-1221"</f>
        <v>987-1221</v>
      </c>
      <c r="D590" s="2" t="str">
        <f>"石巻市須江字皮剥１０５－２"</f>
        <v>石巻市須江字皮剥１０５－２</v>
      </c>
      <c r="E590" s="2" t="str">
        <f>"0225-24-6311  "</f>
        <v xml:space="preserve">0225-24-6311  </v>
      </c>
      <c r="F590" s="2" t="s">
        <v>6</v>
      </c>
      <c r="G590" s="2" t="s">
        <v>118</v>
      </c>
    </row>
    <row r="591" spans="1:7" ht="37.5" x14ac:dyDescent="0.4">
      <c r="A591" s="2">
        <v>590</v>
      </c>
      <c r="B591" s="2" t="s">
        <v>1070</v>
      </c>
      <c r="C591" s="2" t="str">
        <f>"986-2104"</f>
        <v>986-2104</v>
      </c>
      <c r="D591" s="2" t="s">
        <v>1071</v>
      </c>
      <c r="E591" s="2" t="str">
        <f>"0225-24-2952  "</f>
        <v xml:space="preserve">0225-24-2952  </v>
      </c>
      <c r="F591" s="2" t="s">
        <v>9</v>
      </c>
      <c r="G591" s="2" t="s">
        <v>1063</v>
      </c>
    </row>
    <row r="592" spans="1:7" x14ac:dyDescent="0.4">
      <c r="A592" s="2">
        <v>591</v>
      </c>
      <c r="B592" s="2" t="s">
        <v>919</v>
      </c>
      <c r="C592" s="2" t="str">
        <f>"986-0801"</f>
        <v>986-0801</v>
      </c>
      <c r="D592" s="2" t="str">
        <f>"石巻市水明北１－１－１"</f>
        <v>石巻市水明北１－１－１</v>
      </c>
      <c r="E592" s="2" t="str">
        <f>"0225-93-3156  "</f>
        <v xml:space="preserve">0225-93-3156  </v>
      </c>
      <c r="F592" s="2" t="s">
        <v>6</v>
      </c>
      <c r="G592" s="2" t="s">
        <v>10</v>
      </c>
    </row>
    <row r="593" spans="1:7" ht="37.5" x14ac:dyDescent="0.4">
      <c r="A593" s="2">
        <v>592</v>
      </c>
      <c r="B593" s="2" t="s">
        <v>1077</v>
      </c>
      <c r="C593" s="2" t="str">
        <f>"986-0871"</f>
        <v>986-0871</v>
      </c>
      <c r="D593" s="2" t="str">
        <f>"石巻市清水町　１－７－１３"</f>
        <v>石巻市清水町　１－７－１３</v>
      </c>
      <c r="E593" s="2" t="str">
        <f>"0225-94-1357  "</f>
        <v xml:space="preserve">0225-94-1357  </v>
      </c>
      <c r="F593" s="2" t="s">
        <v>9</v>
      </c>
      <c r="G593" s="2" t="s">
        <v>1063</v>
      </c>
    </row>
    <row r="594" spans="1:7" x14ac:dyDescent="0.4">
      <c r="A594" s="2">
        <v>593</v>
      </c>
      <c r="B594" s="2" t="s">
        <v>1116</v>
      </c>
      <c r="C594" s="2" t="str">
        <f>"986-0871"</f>
        <v>986-0871</v>
      </c>
      <c r="D594" s="2" t="str">
        <f>"石巻市清水町1-1-2"</f>
        <v>石巻市清水町1-1-2</v>
      </c>
      <c r="E594" s="2" t="str">
        <f>"0225-98-9792  "</f>
        <v xml:space="preserve">0225-98-9792  </v>
      </c>
      <c r="F594" s="2" t="s">
        <v>9</v>
      </c>
      <c r="G594" s="2" t="s">
        <v>1063</v>
      </c>
    </row>
    <row r="595" spans="1:7" ht="37.5" x14ac:dyDescent="0.4">
      <c r="A595" s="2">
        <v>594</v>
      </c>
      <c r="B595" s="2" t="s">
        <v>37</v>
      </c>
      <c r="C595" s="2" t="str">
        <f>"986-0871"</f>
        <v>986-0871</v>
      </c>
      <c r="D595" s="2" t="str">
        <f>"石巻市清水町１－７－１２"</f>
        <v>石巻市清水町１－７－１２</v>
      </c>
      <c r="E595" s="2" t="str">
        <f>"0225-22-2602  "</f>
        <v xml:space="preserve">0225-22-2602  </v>
      </c>
      <c r="F595" s="2" t="s">
        <v>6</v>
      </c>
      <c r="G595" s="2" t="s">
        <v>38</v>
      </c>
    </row>
    <row r="596" spans="1:7" ht="37.5" x14ac:dyDescent="0.4">
      <c r="A596" s="2">
        <v>595</v>
      </c>
      <c r="B596" s="2" t="s">
        <v>911</v>
      </c>
      <c r="C596" s="2" t="str">
        <f>"986-0871"</f>
        <v>986-0871</v>
      </c>
      <c r="D596" s="2" t="str">
        <f>"石巻市清水町１丁目１０－１"</f>
        <v>石巻市清水町１丁目１０－１</v>
      </c>
      <c r="E596" s="2" t="str">
        <f>"0225-22-6480  "</f>
        <v xml:space="preserve">0225-22-6480  </v>
      </c>
      <c r="F596" s="2" t="s">
        <v>6</v>
      </c>
      <c r="G596" s="2" t="s">
        <v>10</v>
      </c>
    </row>
    <row r="597" spans="1:7" x14ac:dyDescent="0.4">
      <c r="A597" s="2">
        <v>596</v>
      </c>
      <c r="B597" s="2" t="s">
        <v>1078</v>
      </c>
      <c r="C597" s="2" t="str">
        <f>"986-0827"</f>
        <v>986-0827</v>
      </c>
      <c r="D597" s="2" t="s">
        <v>1079</v>
      </c>
      <c r="E597" s="2" t="str">
        <f>"0225-93-7088  "</f>
        <v xml:space="preserve">0225-93-7088  </v>
      </c>
      <c r="F597" s="2" t="s">
        <v>9</v>
      </c>
      <c r="G597" s="2" t="s">
        <v>1063</v>
      </c>
    </row>
    <row r="598" spans="1:7" x14ac:dyDescent="0.4">
      <c r="A598" s="2">
        <v>597</v>
      </c>
      <c r="B598" s="2" t="s">
        <v>1061</v>
      </c>
      <c r="C598" s="2" t="str">
        <f>"986-0827"</f>
        <v>986-0827</v>
      </c>
      <c r="D598" s="2" t="s">
        <v>1062</v>
      </c>
      <c r="E598" s="2" t="str">
        <f>"0225-93-2345  "</f>
        <v xml:space="preserve">0225-93-2345  </v>
      </c>
      <c r="F598" s="2" t="s">
        <v>9</v>
      </c>
      <c r="G598" s="2" t="s">
        <v>1063</v>
      </c>
    </row>
    <row r="599" spans="1:7" x14ac:dyDescent="0.4">
      <c r="A599" s="2">
        <v>598</v>
      </c>
      <c r="B599" s="2" t="s">
        <v>29</v>
      </c>
      <c r="C599" s="2" t="str">
        <f>"986-0827"</f>
        <v>986-0827</v>
      </c>
      <c r="D599" s="2" t="s">
        <v>30</v>
      </c>
      <c r="E599" s="2" t="str">
        <f>"0225-95-1621  "</f>
        <v xml:space="preserve">0225-95-1621  </v>
      </c>
      <c r="F599" s="2" t="s">
        <v>6</v>
      </c>
      <c r="G599" s="2" t="s">
        <v>31</v>
      </c>
    </row>
    <row r="600" spans="1:7" ht="37.5" x14ac:dyDescent="0.4">
      <c r="A600" s="2">
        <v>599</v>
      </c>
      <c r="B600" s="2" t="s">
        <v>1104</v>
      </c>
      <c r="C600" s="2" t="str">
        <f>"986-0832"</f>
        <v>986-0832</v>
      </c>
      <c r="D600" s="2" t="s">
        <v>1105</v>
      </c>
      <c r="E600" s="2" t="str">
        <f>"0225-96-4807  "</f>
        <v xml:space="preserve">0225-96-4807  </v>
      </c>
      <c r="F600" s="2" t="s">
        <v>9</v>
      </c>
      <c r="G600" s="2" t="s">
        <v>1063</v>
      </c>
    </row>
    <row r="601" spans="1:7" ht="37.5" x14ac:dyDescent="0.4">
      <c r="A601" s="2">
        <v>600</v>
      </c>
      <c r="B601" s="2" t="s">
        <v>913</v>
      </c>
      <c r="C601" s="2" t="str">
        <f>"987-1101"</f>
        <v>987-1101</v>
      </c>
      <c r="D601" s="2" t="s">
        <v>914</v>
      </c>
      <c r="E601" s="2" t="str">
        <f>"0225-72-3985  "</f>
        <v xml:space="preserve">0225-72-3985  </v>
      </c>
      <c r="F601" s="2" t="s">
        <v>6</v>
      </c>
      <c r="G601" s="2" t="s">
        <v>10</v>
      </c>
    </row>
    <row r="602" spans="1:7" ht="37.5" x14ac:dyDescent="0.4">
      <c r="A602" s="2">
        <v>601</v>
      </c>
      <c r="B602" s="2" t="s">
        <v>1089</v>
      </c>
      <c r="C602" s="2" t="str">
        <f>"986-0101"</f>
        <v>986-0101</v>
      </c>
      <c r="D602" s="2" t="s">
        <v>1090</v>
      </c>
      <c r="E602" s="2" t="str">
        <f>"0225-62-3013  "</f>
        <v xml:space="preserve">0225-62-3013  </v>
      </c>
      <c r="F602" s="2" t="s">
        <v>9</v>
      </c>
      <c r="G602" s="2" t="s">
        <v>1063</v>
      </c>
    </row>
    <row r="603" spans="1:7" ht="37.5" x14ac:dyDescent="0.4">
      <c r="A603" s="2">
        <v>602</v>
      </c>
      <c r="B603" s="2" t="s">
        <v>1135</v>
      </c>
      <c r="C603" s="2" t="str">
        <f>"986-0101"</f>
        <v>986-0101</v>
      </c>
      <c r="D603" s="2" t="str">
        <f>"石巻市相野谷字飯野川町２０６－３１"</f>
        <v>石巻市相野谷字飯野川町２０６－３１</v>
      </c>
      <c r="E603" s="2" t="str">
        <f>"0225-61-1225  "</f>
        <v xml:space="preserve">0225-61-1225  </v>
      </c>
      <c r="F603" s="2" t="s">
        <v>9</v>
      </c>
      <c r="G603" s="2" t="s">
        <v>1063</v>
      </c>
    </row>
    <row r="604" spans="1:7" ht="37.5" x14ac:dyDescent="0.4">
      <c r="A604" s="2">
        <v>603</v>
      </c>
      <c r="B604" s="2" t="s">
        <v>1091</v>
      </c>
      <c r="C604" s="2" t="str">
        <f>"986-0101"</f>
        <v>986-0101</v>
      </c>
      <c r="D604" s="2" t="str">
        <f>"石巻市相野谷字飯野川町６４－１"</f>
        <v>石巻市相野谷字飯野川町６４－１</v>
      </c>
      <c r="E604" s="2" t="str">
        <f>"0225-62-3121  "</f>
        <v xml:space="preserve">0225-62-3121  </v>
      </c>
      <c r="F604" s="2" t="s">
        <v>9</v>
      </c>
      <c r="G604" s="2" t="s">
        <v>1063</v>
      </c>
    </row>
    <row r="605" spans="1:7" ht="37.5" x14ac:dyDescent="0.4">
      <c r="A605" s="2">
        <v>604</v>
      </c>
      <c r="B605" s="2" t="s">
        <v>1106</v>
      </c>
      <c r="C605" s="2" t="str">
        <f>"986-0859"</f>
        <v>986-0859</v>
      </c>
      <c r="D605" s="2" t="str">
        <f>"石巻市大街道西２－１－２３"</f>
        <v>石巻市大街道西２－１－２３</v>
      </c>
      <c r="E605" s="2" t="str">
        <f>"0225-94-4189  "</f>
        <v xml:space="preserve">0225-94-4189  </v>
      </c>
      <c r="F605" s="2" t="s">
        <v>9</v>
      </c>
      <c r="G605" s="2" t="s">
        <v>1063</v>
      </c>
    </row>
    <row r="606" spans="1:7" ht="37.5" x14ac:dyDescent="0.4">
      <c r="A606" s="2">
        <v>605</v>
      </c>
      <c r="B606" s="2" t="s">
        <v>47</v>
      </c>
      <c r="C606" s="2" t="str">
        <f>"986-0859"</f>
        <v>986-0859</v>
      </c>
      <c r="D606" s="2" t="str">
        <f>"石巻市大街道西２－１－２６"</f>
        <v>石巻市大街道西２－１－２６</v>
      </c>
      <c r="E606" s="2" t="str">
        <f>"0225-23-3434  "</f>
        <v xml:space="preserve">0225-23-3434  </v>
      </c>
      <c r="F606" s="2" t="s">
        <v>6</v>
      </c>
      <c r="G606" s="2" t="s">
        <v>48</v>
      </c>
    </row>
    <row r="607" spans="1:7" ht="37.5" x14ac:dyDescent="0.4">
      <c r="A607" s="2">
        <v>606</v>
      </c>
      <c r="B607" s="2" t="s">
        <v>1764</v>
      </c>
      <c r="C607" s="2" t="str">
        <f>"986-0859"</f>
        <v>986-0859</v>
      </c>
      <c r="D607" s="2" t="str">
        <f>"石巻市大街道西３－１－２８"</f>
        <v>石巻市大街道西３－１－２８</v>
      </c>
      <c r="E607" s="2" t="str">
        <f>"0225-21-5151  "</f>
        <v xml:space="preserve">0225-21-5151  </v>
      </c>
      <c r="F607" s="2" t="s">
        <v>11</v>
      </c>
      <c r="G607" s="2" t="s">
        <v>1151</v>
      </c>
    </row>
    <row r="608" spans="1:7" ht="37.5" x14ac:dyDescent="0.4">
      <c r="A608" s="2">
        <v>607</v>
      </c>
      <c r="B608" s="2" t="s">
        <v>35</v>
      </c>
      <c r="C608" s="2" t="str">
        <f>"986-0859"</f>
        <v>986-0859</v>
      </c>
      <c r="D608" s="2" t="str">
        <f>"石巻市大街道西３－３－２７"</f>
        <v>石巻市大街道西３－３－２７</v>
      </c>
      <c r="E608" s="2" t="str">
        <f>"0225-94-9195  "</f>
        <v xml:space="preserve">0225-94-9195  </v>
      </c>
      <c r="F608" s="2" t="s">
        <v>6</v>
      </c>
      <c r="G608" s="2" t="s">
        <v>36</v>
      </c>
    </row>
    <row r="609" spans="1:7" ht="37.5" x14ac:dyDescent="0.4">
      <c r="A609" s="2">
        <v>608</v>
      </c>
      <c r="B609" s="2" t="s">
        <v>1148</v>
      </c>
      <c r="C609" s="2" t="str">
        <f>"986-0855"</f>
        <v>986-0855</v>
      </c>
      <c r="D609" s="2" t="str">
        <f>"石巻市大街道東４－３－６１"</f>
        <v>石巻市大街道東４－３－６１</v>
      </c>
      <c r="E609" s="2" t="str">
        <f>"0225-24-6918  "</f>
        <v xml:space="preserve">0225-24-6918  </v>
      </c>
      <c r="F609" s="2" t="s">
        <v>9</v>
      </c>
      <c r="G609" s="2" t="s">
        <v>1063</v>
      </c>
    </row>
    <row r="610" spans="1:7" ht="37.5" x14ac:dyDescent="0.4">
      <c r="A610" s="2">
        <v>609</v>
      </c>
      <c r="B610" s="2" t="s">
        <v>80</v>
      </c>
      <c r="C610" s="2" t="str">
        <f>"986-0856"</f>
        <v>986-0856</v>
      </c>
      <c r="D610" s="2" t="str">
        <f>"石巻市大街道南５－４－３１"</f>
        <v>石巻市大街道南５－４－３１</v>
      </c>
      <c r="E610" s="2" t="str">
        <f>"0225-95-6118  "</f>
        <v xml:space="preserve">0225-95-6118  </v>
      </c>
      <c r="F610" s="2" t="s">
        <v>6</v>
      </c>
      <c r="G610" s="2" t="s">
        <v>81</v>
      </c>
    </row>
    <row r="611" spans="1:7" ht="37.5" x14ac:dyDescent="0.4">
      <c r="A611" s="2">
        <v>610</v>
      </c>
      <c r="B611" s="2" t="s">
        <v>1099</v>
      </c>
      <c r="C611" s="2" t="str">
        <f>"986-0856"</f>
        <v>986-0856</v>
      </c>
      <c r="D611" s="2" t="str">
        <f>"石巻市大街道南５－４－４３"</f>
        <v>石巻市大街道南５－４－４３</v>
      </c>
      <c r="E611" s="2" t="str">
        <f>"0225-92-7330  "</f>
        <v xml:space="preserve">0225-92-7330  </v>
      </c>
      <c r="F611" s="2" t="s">
        <v>9</v>
      </c>
      <c r="G611" s="2" t="s">
        <v>1063</v>
      </c>
    </row>
    <row r="612" spans="1:7" ht="37.5" x14ac:dyDescent="0.4">
      <c r="A612" s="2">
        <v>611</v>
      </c>
      <c r="B612" s="2" t="s">
        <v>59</v>
      </c>
      <c r="C612" s="2" t="str">
        <f>"986-0854"</f>
        <v>986-0854</v>
      </c>
      <c r="D612" s="2" t="str">
        <f>"石巻市大街道北１丁目３－１５"</f>
        <v>石巻市大街道北１丁目３－１５</v>
      </c>
      <c r="E612" s="2" t="str">
        <f>"0225-93-7000  "</f>
        <v xml:space="preserve">0225-93-7000  </v>
      </c>
      <c r="F612" s="2" t="s">
        <v>6</v>
      </c>
      <c r="G612" s="2" t="s">
        <v>60</v>
      </c>
    </row>
    <row r="613" spans="1:7" ht="37.5" x14ac:dyDescent="0.4">
      <c r="A613" s="2">
        <v>612</v>
      </c>
      <c r="B613" s="2" t="s">
        <v>94</v>
      </c>
      <c r="C613" s="2" t="str">
        <f>"986-0854"</f>
        <v>986-0854</v>
      </c>
      <c r="D613" s="2" t="s">
        <v>95</v>
      </c>
      <c r="E613" s="2" t="str">
        <f>"0225-98-6255  "</f>
        <v xml:space="preserve">0225-98-6255  </v>
      </c>
      <c r="F613" s="2" t="s">
        <v>6</v>
      </c>
      <c r="G613" s="2" t="s">
        <v>38</v>
      </c>
    </row>
    <row r="614" spans="1:7" ht="37.5" x14ac:dyDescent="0.4">
      <c r="A614" s="2">
        <v>613</v>
      </c>
      <c r="B614" s="2" t="s">
        <v>1772</v>
      </c>
      <c r="C614" s="2" t="str">
        <f>"986-0805"</f>
        <v>986-0805</v>
      </c>
      <c r="D614" s="2" t="s">
        <v>1773</v>
      </c>
      <c r="E614" s="2" t="str">
        <f>"0225-98-7868  "</f>
        <v xml:space="preserve">0225-98-7868  </v>
      </c>
      <c r="F614" s="2" t="s">
        <v>11</v>
      </c>
      <c r="G614" s="2" t="s">
        <v>1151</v>
      </c>
    </row>
    <row r="615" spans="1:7" ht="37.5" x14ac:dyDescent="0.4">
      <c r="A615" s="2">
        <v>614</v>
      </c>
      <c r="B615" s="2" t="s">
        <v>1107</v>
      </c>
      <c r="C615" s="2" t="str">
        <f>"986-0805"</f>
        <v>986-0805</v>
      </c>
      <c r="D615" s="2" t="str">
        <f>"石巻市大橋３丁目２－１５"</f>
        <v>石巻市大橋３丁目２－１５</v>
      </c>
      <c r="E615" s="2" t="str">
        <f>"0225-92-0891  "</f>
        <v xml:space="preserve">0225-92-0891  </v>
      </c>
      <c r="F615" s="2" t="s">
        <v>9</v>
      </c>
      <c r="G615" s="2" t="s">
        <v>1063</v>
      </c>
    </row>
    <row r="616" spans="1:7" x14ac:dyDescent="0.4">
      <c r="A616" s="2">
        <v>615</v>
      </c>
      <c r="B616" s="2" t="s">
        <v>87</v>
      </c>
      <c r="C616" s="2" t="str">
        <f>"986-0805"</f>
        <v>986-0805</v>
      </c>
      <c r="D616" s="2" t="s">
        <v>92</v>
      </c>
      <c r="E616" s="2" t="str">
        <f>"0225-21-6117  "</f>
        <v xml:space="preserve">0225-21-6117  </v>
      </c>
      <c r="F616" s="2" t="s">
        <v>6</v>
      </c>
      <c r="G616" s="2" t="s">
        <v>93</v>
      </c>
    </row>
    <row r="617" spans="1:7" ht="37.5" x14ac:dyDescent="0.4">
      <c r="A617" s="2">
        <v>616</v>
      </c>
      <c r="B617" s="2" t="s">
        <v>1131</v>
      </c>
      <c r="C617" s="2" t="str">
        <f>"986-0838"</f>
        <v>986-0838</v>
      </c>
      <c r="D617" s="2" t="str">
        <f>"石巻市大手町　４－５６１"</f>
        <v>石巻市大手町　４－５６１</v>
      </c>
      <c r="E617" s="2" t="str">
        <f>"0225-93-4839  "</f>
        <v xml:space="preserve">0225-93-4839  </v>
      </c>
      <c r="F617" s="2" t="s">
        <v>9</v>
      </c>
      <c r="G617" s="2" t="s">
        <v>1063</v>
      </c>
    </row>
    <row r="618" spans="1:7" x14ac:dyDescent="0.4">
      <c r="A618" s="2">
        <v>617</v>
      </c>
      <c r="B618" s="2" t="s">
        <v>916</v>
      </c>
      <c r="C618" s="2" t="str">
        <f>"986-0121"</f>
        <v>986-0121</v>
      </c>
      <c r="D618" s="2" t="str">
        <f>"石巻市大森字的場４－５"</f>
        <v>石巻市大森字的場４－５</v>
      </c>
      <c r="E618" s="2" t="str">
        <f>"0225-62-4045  "</f>
        <v xml:space="preserve">0225-62-4045  </v>
      </c>
      <c r="F618" s="2" t="s">
        <v>6</v>
      </c>
      <c r="G618" s="2" t="s">
        <v>910</v>
      </c>
    </row>
    <row r="619" spans="1:7" ht="37.5" x14ac:dyDescent="0.4">
      <c r="A619" s="2">
        <v>618</v>
      </c>
      <c r="B619" s="2" t="s">
        <v>82</v>
      </c>
      <c r="C619" s="2" t="str">
        <f>"986-0847"</f>
        <v>986-0847</v>
      </c>
      <c r="D619" s="2" t="str">
        <f>"石巻市中浦１－２－１１１"</f>
        <v>石巻市中浦１－２－１１１</v>
      </c>
      <c r="E619" s="2" t="str">
        <f>"0225-21-7551  "</f>
        <v xml:space="preserve">0225-21-7551  </v>
      </c>
      <c r="F619" s="2" t="s">
        <v>6</v>
      </c>
      <c r="G619" s="2" t="s">
        <v>58</v>
      </c>
    </row>
    <row r="620" spans="1:7" ht="37.5" x14ac:dyDescent="0.4">
      <c r="A620" s="2">
        <v>619</v>
      </c>
      <c r="B620" s="2" t="s">
        <v>1136</v>
      </c>
      <c r="C620" s="2" t="str">
        <f>"986-0847"</f>
        <v>986-0847</v>
      </c>
      <c r="D620" s="2" t="str">
        <f>"石巻市中浦１－２－１２４"</f>
        <v>石巻市中浦１－２－１２４</v>
      </c>
      <c r="E620" s="2" t="str">
        <f>"0225-94-1293  "</f>
        <v xml:space="preserve">0225-94-1293  </v>
      </c>
      <c r="F620" s="2" t="s">
        <v>9</v>
      </c>
      <c r="G620" s="2" t="s">
        <v>1063</v>
      </c>
    </row>
    <row r="621" spans="1:7" ht="37.5" x14ac:dyDescent="0.4">
      <c r="A621" s="2">
        <v>620</v>
      </c>
      <c r="B621" s="2" t="s">
        <v>17</v>
      </c>
      <c r="C621" s="2" t="str">
        <f>"986-0822"</f>
        <v>986-0822</v>
      </c>
      <c r="D621" s="2" t="str">
        <f>"石巻市中央　１－１３－１７"</f>
        <v>石巻市中央　１－１３－１７</v>
      </c>
      <c r="E621" s="2" t="str">
        <f>"0225-95-1755  "</f>
        <v xml:space="preserve">0225-95-1755  </v>
      </c>
      <c r="F621" s="2" t="s">
        <v>6</v>
      </c>
      <c r="G621" s="2" t="s">
        <v>18</v>
      </c>
    </row>
    <row r="622" spans="1:7" ht="37.5" x14ac:dyDescent="0.4">
      <c r="A622" s="2">
        <v>621</v>
      </c>
      <c r="B622" s="2" t="s">
        <v>908</v>
      </c>
      <c r="C622" s="2" t="str">
        <f>"986-0822"</f>
        <v>986-0822</v>
      </c>
      <c r="D622" s="2" t="s">
        <v>909</v>
      </c>
      <c r="E622" s="2" t="str">
        <f>"0225-95-8000  "</f>
        <v xml:space="preserve">0225-95-8000  </v>
      </c>
      <c r="F622" s="2" t="s">
        <v>6</v>
      </c>
      <c r="G622" s="2" t="s">
        <v>910</v>
      </c>
    </row>
    <row r="623" spans="1:7" x14ac:dyDescent="0.4">
      <c r="A623" s="2">
        <v>622</v>
      </c>
      <c r="B623" s="2" t="s">
        <v>1145</v>
      </c>
      <c r="C623" s="2" t="str">
        <f>"986-0822"</f>
        <v>986-0822</v>
      </c>
      <c r="D623" s="2" t="str">
        <f>"石巻市中央１－１５－５"</f>
        <v>石巻市中央１－１５－５</v>
      </c>
      <c r="E623" s="2" t="str">
        <f>"0225-90-9720  "</f>
        <v xml:space="preserve">0225-90-9720  </v>
      </c>
      <c r="F623" s="2" t="s">
        <v>9</v>
      </c>
      <c r="G623" s="2" t="s">
        <v>1063</v>
      </c>
    </row>
    <row r="624" spans="1:7" ht="37.5" x14ac:dyDescent="0.4">
      <c r="A624" s="2">
        <v>623</v>
      </c>
      <c r="B624" s="2" t="s">
        <v>102</v>
      </c>
      <c r="C624" s="2" t="str">
        <f>"986-0822"</f>
        <v>986-0822</v>
      </c>
      <c r="D624" s="2" t="str">
        <f>"石巻市中央１丁目１０－２３"</f>
        <v>石巻市中央１丁目１０－２３</v>
      </c>
      <c r="E624" s="2" t="str">
        <f>"0225-22-1440  "</f>
        <v xml:space="preserve">0225-22-1440  </v>
      </c>
      <c r="F624" s="2" t="s">
        <v>6</v>
      </c>
      <c r="G624" s="2" t="s">
        <v>28</v>
      </c>
    </row>
    <row r="625" spans="1:7" ht="37.5" x14ac:dyDescent="0.4">
      <c r="A625" s="2">
        <v>624</v>
      </c>
      <c r="B625" s="2" t="s">
        <v>45</v>
      </c>
      <c r="C625" s="2" t="str">
        <f>"986-0815"</f>
        <v>986-0815</v>
      </c>
      <c r="D625" s="2" t="str">
        <f>"石巻市中里　７－３－３５"</f>
        <v>石巻市中里　７－３－３５</v>
      </c>
      <c r="E625" s="2" t="str">
        <f>"0225-22-5410  "</f>
        <v xml:space="preserve">0225-22-5410  </v>
      </c>
      <c r="F625" s="2" t="s">
        <v>6</v>
      </c>
      <c r="G625" s="2" t="s">
        <v>46</v>
      </c>
    </row>
    <row r="626" spans="1:7" ht="37.5" x14ac:dyDescent="0.4">
      <c r="A626" s="2">
        <v>625</v>
      </c>
      <c r="B626" s="2" t="s">
        <v>49</v>
      </c>
      <c r="C626" s="2" t="str">
        <f>"986-0815"</f>
        <v>986-0815</v>
      </c>
      <c r="D626" s="2" t="str">
        <f>"石巻市中里２－１２－１"</f>
        <v>石巻市中里２－１２－１</v>
      </c>
      <c r="E626" s="2" t="str">
        <f>"0225-96-6372  "</f>
        <v xml:space="preserve">0225-96-6372  </v>
      </c>
      <c r="F626" s="2" t="s">
        <v>6</v>
      </c>
      <c r="G626" s="2" t="s">
        <v>50</v>
      </c>
    </row>
    <row r="627" spans="1:7" ht="37.5" x14ac:dyDescent="0.4">
      <c r="A627" s="2">
        <v>626</v>
      </c>
      <c r="B627" s="2" t="s">
        <v>98</v>
      </c>
      <c r="C627" s="2" t="str">
        <f>"986-0815"</f>
        <v>986-0815</v>
      </c>
      <c r="D627" s="2" t="str">
        <f>"石巻市中里２－１２－２６"</f>
        <v>石巻市中里２－１２－２６</v>
      </c>
      <c r="E627" s="2" t="str">
        <f>"0225-98-3201  "</f>
        <v xml:space="preserve">0225-98-3201  </v>
      </c>
      <c r="F627" s="2" t="s">
        <v>6</v>
      </c>
      <c r="G627" s="2" t="s">
        <v>91</v>
      </c>
    </row>
    <row r="628" spans="1:7" ht="37.5" x14ac:dyDescent="0.4">
      <c r="A628" s="2">
        <v>627</v>
      </c>
      <c r="B628" s="2" t="s">
        <v>917</v>
      </c>
      <c r="C628" s="2" t="str">
        <f>"986-0815"</f>
        <v>986-0815</v>
      </c>
      <c r="D628" s="2" t="s">
        <v>918</v>
      </c>
      <c r="E628" s="2" t="str">
        <f>"0225-22-4618  "</f>
        <v xml:space="preserve">0225-22-4618  </v>
      </c>
      <c r="F628" s="2" t="s">
        <v>6</v>
      </c>
      <c r="G628" s="2" t="s">
        <v>10</v>
      </c>
    </row>
    <row r="629" spans="1:7" ht="37.5" x14ac:dyDescent="0.4">
      <c r="A629" s="2">
        <v>628</v>
      </c>
      <c r="B629" s="2" t="s">
        <v>1137</v>
      </c>
      <c r="C629" s="2" t="str">
        <f>"986-0815"</f>
        <v>986-0815</v>
      </c>
      <c r="D629" s="2" t="str">
        <f>"石巻市中里二丁目１２－１"</f>
        <v>石巻市中里二丁目１２－１</v>
      </c>
      <c r="E629" s="2" t="str">
        <f>"0225-22-0700  "</f>
        <v xml:space="preserve">0225-22-0700  </v>
      </c>
      <c r="F629" s="2" t="s">
        <v>9</v>
      </c>
      <c r="G629" s="2" t="s">
        <v>1129</v>
      </c>
    </row>
    <row r="630" spans="1:7" ht="37.5" x14ac:dyDescent="0.4">
      <c r="A630" s="2">
        <v>629</v>
      </c>
      <c r="B630" s="2" t="s">
        <v>52</v>
      </c>
      <c r="C630" s="2" t="str">
        <f>"986-0826"</f>
        <v>986-0826</v>
      </c>
      <c r="D630" s="2" t="str">
        <f>"石巻市鋳銭場　１－１０"</f>
        <v>石巻市鋳銭場　１－１０</v>
      </c>
      <c r="E630" s="2" t="str">
        <f>"0225-21-5335  "</f>
        <v xml:space="preserve">0225-21-5335  </v>
      </c>
      <c r="F630" s="2" t="s">
        <v>6</v>
      </c>
      <c r="G630" s="2" t="s">
        <v>32</v>
      </c>
    </row>
    <row r="631" spans="1:7" x14ac:dyDescent="0.4">
      <c r="A631" s="2">
        <v>630</v>
      </c>
      <c r="B631" s="2" t="s">
        <v>1074</v>
      </c>
      <c r="C631" s="2" t="str">
        <f>"986-0826"</f>
        <v>986-0826</v>
      </c>
      <c r="D631" s="2" t="s">
        <v>1075</v>
      </c>
      <c r="E631" s="2" t="str">
        <f>"0225-22-9383  "</f>
        <v xml:space="preserve">0225-22-9383  </v>
      </c>
      <c r="F631" s="2" t="s">
        <v>9</v>
      </c>
      <c r="G631" s="2" t="s">
        <v>1063</v>
      </c>
    </row>
    <row r="632" spans="1:7" x14ac:dyDescent="0.4">
      <c r="A632" s="2">
        <v>631</v>
      </c>
      <c r="B632" s="2" t="s">
        <v>1149</v>
      </c>
      <c r="C632" s="2" t="str">
        <f>"986-0826"</f>
        <v>986-0826</v>
      </c>
      <c r="D632" s="2" t="str">
        <f>"石巻市鋳銭場１－９"</f>
        <v>石巻市鋳銭場１－９</v>
      </c>
      <c r="E632" s="2" t="str">
        <f>"0225-22-5089  "</f>
        <v xml:space="preserve">0225-22-5089  </v>
      </c>
      <c r="F632" s="2" t="s">
        <v>9</v>
      </c>
      <c r="G632" s="2" t="s">
        <v>1063</v>
      </c>
    </row>
    <row r="633" spans="1:7" ht="37.5" x14ac:dyDescent="0.4">
      <c r="A633" s="2">
        <v>632</v>
      </c>
      <c r="B633" s="2" t="s">
        <v>71</v>
      </c>
      <c r="C633" s="2" t="str">
        <f>"986-2525"</f>
        <v>986-2525</v>
      </c>
      <c r="D633" s="2" t="s">
        <v>72</v>
      </c>
      <c r="E633" s="2" t="str">
        <f>"0225-49-2033  "</f>
        <v xml:space="preserve">0225-49-2033  </v>
      </c>
      <c r="F633" s="2" t="s">
        <v>6</v>
      </c>
      <c r="G633" s="2" t="s">
        <v>73</v>
      </c>
    </row>
    <row r="634" spans="1:7" ht="37.5" x14ac:dyDescent="0.4">
      <c r="A634" s="2">
        <v>633</v>
      </c>
      <c r="B634" s="2" t="s">
        <v>1771</v>
      </c>
      <c r="C634" s="2" t="str">
        <f>"986-2135"</f>
        <v>986-2135</v>
      </c>
      <c r="D634" s="2" t="str">
        <f>"石巻市渡波字上榎檀１２９－１"</f>
        <v>石巻市渡波字上榎檀１２９－１</v>
      </c>
      <c r="E634" s="2" t="str">
        <f>"0225-24-6982  "</f>
        <v xml:space="preserve">0225-24-6982  </v>
      </c>
      <c r="F634" s="2" t="s">
        <v>11</v>
      </c>
      <c r="G634" s="2" t="s">
        <v>1151</v>
      </c>
    </row>
    <row r="635" spans="1:7" ht="37.5" x14ac:dyDescent="0.4">
      <c r="A635" s="2">
        <v>634</v>
      </c>
      <c r="B635" s="2" t="s">
        <v>96</v>
      </c>
      <c r="C635" s="2" t="str">
        <f>"986-0314"</f>
        <v>986-0314</v>
      </c>
      <c r="D635" s="2" t="str">
        <f>"石巻市桃生町寺崎字舟場前２３－１"</f>
        <v>石巻市桃生町寺崎字舟場前２３－１</v>
      </c>
      <c r="E635" s="2" t="str">
        <f>"0225-76-4170  "</f>
        <v xml:space="preserve">0225-76-4170  </v>
      </c>
      <c r="F635" s="2" t="s">
        <v>6</v>
      </c>
      <c r="G635" s="2" t="s">
        <v>97</v>
      </c>
    </row>
    <row r="636" spans="1:7" ht="37.5" x14ac:dyDescent="0.4">
      <c r="A636" s="2">
        <v>635</v>
      </c>
      <c r="B636" s="2" t="s">
        <v>1138</v>
      </c>
      <c r="C636" s="2" t="str">
        <f>"986-0314"</f>
        <v>986-0314</v>
      </c>
      <c r="D636" s="2" t="str">
        <f>"石巻市桃生町寺崎字舟場前２５－１"</f>
        <v>石巻市桃生町寺崎字舟場前２５－１</v>
      </c>
      <c r="E636" s="2" t="str">
        <f>"0225-79-2655  "</f>
        <v xml:space="preserve">0225-79-2655  </v>
      </c>
      <c r="F636" s="2" t="s">
        <v>9</v>
      </c>
      <c r="G636" s="2" t="s">
        <v>1063</v>
      </c>
    </row>
    <row r="637" spans="1:7" ht="37.5" x14ac:dyDescent="0.4">
      <c r="A637" s="2">
        <v>636</v>
      </c>
      <c r="B637" s="2" t="s">
        <v>70</v>
      </c>
      <c r="C637" s="2" t="str">
        <f>"986-0313"</f>
        <v>986-0313</v>
      </c>
      <c r="D637" s="2" t="str">
        <f>"石巻市桃生町中津山字四軒前　７０－１"</f>
        <v>石巻市桃生町中津山字四軒前　７０－１</v>
      </c>
      <c r="E637" s="2" t="str">
        <f>"0225-79-1388  "</f>
        <v xml:space="preserve">0225-79-1388  </v>
      </c>
      <c r="F637" s="2" t="s">
        <v>6</v>
      </c>
      <c r="G637" s="2" t="s">
        <v>48</v>
      </c>
    </row>
    <row r="638" spans="1:7" ht="37.5" x14ac:dyDescent="0.4">
      <c r="A638" s="2">
        <v>637</v>
      </c>
      <c r="B638" s="2" t="s">
        <v>1096</v>
      </c>
      <c r="C638" s="2" t="str">
        <f>"986-0313"</f>
        <v>986-0313</v>
      </c>
      <c r="D638" s="2" t="s">
        <v>1097</v>
      </c>
      <c r="E638" s="2" t="str">
        <f>"0225-76-6855  "</f>
        <v xml:space="preserve">0225-76-6855  </v>
      </c>
      <c r="F638" s="2" t="s">
        <v>9</v>
      </c>
      <c r="G638" s="2" t="s">
        <v>1063</v>
      </c>
    </row>
    <row r="639" spans="1:7" ht="37.5" x14ac:dyDescent="0.4">
      <c r="A639" s="2">
        <v>638</v>
      </c>
      <c r="B639" s="2" t="s">
        <v>68</v>
      </c>
      <c r="C639" s="2" t="str">
        <f>"986-0313"</f>
        <v>986-0313</v>
      </c>
      <c r="D639" s="2" t="s">
        <v>69</v>
      </c>
      <c r="E639" s="2" t="str">
        <f>"0225-76-4024  "</f>
        <v xml:space="preserve">0225-76-4024  </v>
      </c>
      <c r="F639" s="2" t="s">
        <v>6</v>
      </c>
      <c r="G639" s="2" t="s">
        <v>61</v>
      </c>
    </row>
    <row r="640" spans="1:7" ht="37.5" x14ac:dyDescent="0.4">
      <c r="A640" s="2">
        <v>639</v>
      </c>
      <c r="B640" s="2" t="s">
        <v>1122</v>
      </c>
      <c r="C640" s="2" t="str">
        <f>"986-0814"</f>
        <v>986-0814</v>
      </c>
      <c r="D640" s="2" t="s">
        <v>1123</v>
      </c>
      <c r="E640" s="2" t="str">
        <f>"0225-21-6268  "</f>
        <v xml:space="preserve">0225-21-6268  </v>
      </c>
      <c r="F640" s="2" t="s">
        <v>9</v>
      </c>
      <c r="G640" s="2" t="s">
        <v>1063</v>
      </c>
    </row>
    <row r="641" spans="1:7" ht="37.5" x14ac:dyDescent="0.4">
      <c r="A641" s="2">
        <v>640</v>
      </c>
      <c r="B641" s="2" t="s">
        <v>53</v>
      </c>
      <c r="C641" s="2" t="str">
        <f>"986-0016"</f>
        <v>986-0016</v>
      </c>
      <c r="D641" s="2" t="str">
        <f>"石巻市八幡町　１－３－２２"</f>
        <v>石巻市八幡町　１－３－２２</v>
      </c>
      <c r="E641" s="2" t="str">
        <f>"0225-92-7651  "</f>
        <v xml:space="preserve">0225-92-7651  </v>
      </c>
      <c r="F641" s="2" t="s">
        <v>6</v>
      </c>
      <c r="G641" s="2" t="s">
        <v>54</v>
      </c>
    </row>
    <row r="642" spans="1:7" ht="37.5" x14ac:dyDescent="0.4">
      <c r="A642" s="2">
        <v>641</v>
      </c>
      <c r="B642" s="2" t="s">
        <v>1132</v>
      </c>
      <c r="C642" s="2" t="str">
        <f>"986-0016"</f>
        <v>986-0016</v>
      </c>
      <c r="D642" s="2" t="s">
        <v>1110</v>
      </c>
      <c r="E642" s="2" t="str">
        <f>"0225-92-5217  "</f>
        <v xml:space="preserve">0225-92-5217  </v>
      </c>
      <c r="F642" s="2" t="s">
        <v>9</v>
      </c>
      <c r="G642" s="2" t="s">
        <v>1063</v>
      </c>
    </row>
    <row r="643" spans="1:7" x14ac:dyDescent="0.4">
      <c r="A643" s="2">
        <v>642</v>
      </c>
      <c r="B643" s="2" t="s">
        <v>1067</v>
      </c>
      <c r="C643" s="2" t="str">
        <f>"986-0033"</f>
        <v>986-0033</v>
      </c>
      <c r="D643" s="2" t="str">
        <f>"石巻市美園３－１－１０"</f>
        <v>石巻市美園３－１－１０</v>
      </c>
      <c r="E643" s="2" t="str">
        <f>"0225-22-4035  "</f>
        <v xml:space="preserve">0225-22-4035  </v>
      </c>
      <c r="F643" s="2" t="s">
        <v>9</v>
      </c>
      <c r="G643" s="2" t="s">
        <v>1063</v>
      </c>
    </row>
    <row r="644" spans="1:7" ht="37.5" x14ac:dyDescent="0.4">
      <c r="A644" s="2">
        <v>643</v>
      </c>
      <c r="B644" s="2" t="s">
        <v>1130</v>
      </c>
      <c r="C644" s="2" t="str">
        <f>"986-0017"</f>
        <v>986-0017</v>
      </c>
      <c r="D644" s="2" t="str">
        <f>"石巻市不動町１丁目７－２"</f>
        <v>石巻市不動町１丁目７－２</v>
      </c>
      <c r="E644" s="2" t="str">
        <f>"0225-93-0106  "</f>
        <v xml:space="preserve">0225-93-0106  </v>
      </c>
      <c r="F644" s="2" t="s">
        <v>9</v>
      </c>
      <c r="G644" s="2" t="s">
        <v>1063</v>
      </c>
    </row>
    <row r="645" spans="1:7" ht="37.5" x14ac:dyDescent="0.4">
      <c r="A645" s="2">
        <v>644</v>
      </c>
      <c r="B645" s="2" t="s">
        <v>1113</v>
      </c>
      <c r="C645" s="2" t="str">
        <f>"986-0202"</f>
        <v>986-0202</v>
      </c>
      <c r="D645" s="2" t="str">
        <f>"石巻市北上町橋浦字大須１８２－１"</f>
        <v>石巻市北上町橋浦字大須１８２－１</v>
      </c>
      <c r="E645" s="2" t="str">
        <f>"0225-90-3158  "</f>
        <v xml:space="preserve">0225-90-3158  </v>
      </c>
      <c r="F645" s="2" t="s">
        <v>9</v>
      </c>
      <c r="G645" s="2" t="s">
        <v>1063</v>
      </c>
    </row>
    <row r="646" spans="1:7" x14ac:dyDescent="0.4">
      <c r="A646" s="2">
        <v>645</v>
      </c>
      <c r="B646" s="2" t="s">
        <v>1064</v>
      </c>
      <c r="C646" s="2" t="str">
        <f>"986-0025"</f>
        <v>986-0025</v>
      </c>
      <c r="D646" s="2" t="str">
        <f>"石巻市湊町　４－４－７"</f>
        <v>石巻市湊町　４－４－７</v>
      </c>
      <c r="E646" s="2" t="str">
        <f>"0225-22-5225  "</f>
        <v xml:space="preserve">0225-22-5225  </v>
      </c>
      <c r="F646" s="2" t="s">
        <v>9</v>
      </c>
      <c r="G646" s="2" t="s">
        <v>1063</v>
      </c>
    </row>
    <row r="647" spans="1:7" ht="37.5" x14ac:dyDescent="0.4">
      <c r="A647" s="2">
        <v>646</v>
      </c>
      <c r="B647" s="2" t="s">
        <v>1765</v>
      </c>
      <c r="C647" s="2" t="str">
        <f>"986-0853"</f>
        <v>986-0853</v>
      </c>
      <c r="D647" s="2" t="s">
        <v>1766</v>
      </c>
      <c r="E647" s="2" t="str">
        <f>"0225-21-8207  "</f>
        <v xml:space="preserve">0225-21-8207  </v>
      </c>
      <c r="F647" s="2" t="s">
        <v>11</v>
      </c>
      <c r="G647" s="2" t="s">
        <v>1151</v>
      </c>
    </row>
    <row r="648" spans="1:7" ht="37.5" x14ac:dyDescent="0.4">
      <c r="A648" s="2">
        <v>647</v>
      </c>
      <c r="B648" s="2" t="s">
        <v>25</v>
      </c>
      <c r="C648" s="2" t="str">
        <f>"986-0853"</f>
        <v>986-0853</v>
      </c>
      <c r="D648" s="2" t="str">
        <f>"石巻市門脇字青葉西３８－１"</f>
        <v>石巻市門脇字青葉西３８－１</v>
      </c>
      <c r="E648" s="2" t="str">
        <f>"0225-93-9693  "</f>
        <v xml:space="preserve">0225-93-9693  </v>
      </c>
      <c r="F648" s="2" t="s">
        <v>6</v>
      </c>
      <c r="G648" s="2" t="s">
        <v>26</v>
      </c>
    </row>
    <row r="649" spans="1:7" ht="37.5" x14ac:dyDescent="0.4">
      <c r="A649" s="2">
        <v>648</v>
      </c>
      <c r="B649" s="2" t="s">
        <v>33</v>
      </c>
      <c r="C649" s="2" t="str">
        <f>"986-0853"</f>
        <v>986-0853</v>
      </c>
      <c r="D649" s="2" t="str">
        <f>"石巻市門脇字二番谷地　１３－５６２"</f>
        <v>石巻市門脇字二番谷地　１３－５６２</v>
      </c>
      <c r="E649" s="2" t="str">
        <f>"0225-96-2823  "</f>
        <v xml:space="preserve">0225-96-2823  </v>
      </c>
      <c r="F649" s="2" t="s">
        <v>6</v>
      </c>
      <c r="G649" s="2" t="s">
        <v>34</v>
      </c>
    </row>
    <row r="650" spans="1:7" ht="37.5" x14ac:dyDescent="0.4">
      <c r="A650" s="2">
        <v>649</v>
      </c>
      <c r="B650" s="2" t="s">
        <v>1098</v>
      </c>
      <c r="C650" s="2" t="str">
        <f>"986-2103"</f>
        <v>986-2103</v>
      </c>
      <c r="D650" s="2" t="str">
        <f>"石巻市流留字七勺１－１"</f>
        <v>石巻市流留字七勺１－１</v>
      </c>
      <c r="E650" s="2" t="str">
        <f>"0225-25-3551  "</f>
        <v xml:space="preserve">0225-25-3551  </v>
      </c>
      <c r="F650" s="2" t="s">
        <v>9</v>
      </c>
      <c r="G650" s="2" t="s">
        <v>1063</v>
      </c>
    </row>
    <row r="651" spans="1:7" ht="37.5" x14ac:dyDescent="0.4">
      <c r="A651" s="2">
        <v>650</v>
      </c>
      <c r="B651" s="2" t="s">
        <v>915</v>
      </c>
      <c r="C651" s="2" t="str">
        <f>"986-2103"</f>
        <v>986-2103</v>
      </c>
      <c r="D651" s="2" t="str">
        <f>"石巻市流留字七勺１－１イオンSC石巻東店"</f>
        <v>石巻市流留字七勺１－１イオンSC石巻東店</v>
      </c>
      <c r="E651" s="2" t="str">
        <f>"0225-24-3591  "</f>
        <v xml:space="preserve">0225-24-3591  </v>
      </c>
      <c r="F651" s="2" t="s">
        <v>6</v>
      </c>
      <c r="G651" s="2" t="s">
        <v>10</v>
      </c>
    </row>
    <row r="652" spans="1:7" ht="150" x14ac:dyDescent="0.4">
      <c r="A652" s="2">
        <v>651</v>
      </c>
      <c r="B652" s="2" t="s">
        <v>372</v>
      </c>
      <c r="C652" s="2" t="str">
        <f>"985-0835"</f>
        <v>985-0835</v>
      </c>
      <c r="D652" s="2" t="str">
        <f>"多賀城市下馬　２－１３－７"</f>
        <v>多賀城市下馬　２－１３－７</v>
      </c>
      <c r="E652" s="2" t="str">
        <f>"022-361-7011  "</f>
        <v xml:space="preserve">022-361-7011  </v>
      </c>
      <c r="F652" s="2" t="s">
        <v>6</v>
      </c>
      <c r="G652" s="2" t="s">
        <v>373</v>
      </c>
    </row>
    <row r="653" spans="1:7" ht="37.5" x14ac:dyDescent="0.4">
      <c r="A653" s="2">
        <v>652</v>
      </c>
      <c r="B653" s="2" t="s">
        <v>1321</v>
      </c>
      <c r="C653" s="2" t="str">
        <f>"985-0835"</f>
        <v>985-0835</v>
      </c>
      <c r="D653" s="2" t="s">
        <v>1322</v>
      </c>
      <c r="E653" s="2" t="str">
        <f>"022-362-1640  "</f>
        <v xml:space="preserve">022-362-1640  </v>
      </c>
      <c r="F653" s="2" t="s">
        <v>9</v>
      </c>
      <c r="G653" s="2" t="s">
        <v>1063</v>
      </c>
    </row>
    <row r="654" spans="1:7" ht="37.5" x14ac:dyDescent="0.4">
      <c r="A654" s="2">
        <v>653</v>
      </c>
      <c r="B654" s="2" t="s">
        <v>973</v>
      </c>
      <c r="C654" s="2" t="str">
        <f>"985-0835"</f>
        <v>985-0835</v>
      </c>
      <c r="D654" s="2" t="str">
        <f>"多賀城市下馬　２－８－５"</f>
        <v>多賀城市下馬　２－８－５</v>
      </c>
      <c r="E654" s="2" t="str">
        <f>"022-362-5213  "</f>
        <v xml:space="preserve">022-362-5213  </v>
      </c>
      <c r="F654" s="2" t="s">
        <v>6</v>
      </c>
      <c r="G654" s="2" t="s">
        <v>974</v>
      </c>
    </row>
    <row r="655" spans="1:7" x14ac:dyDescent="0.4">
      <c r="A655" s="2">
        <v>654</v>
      </c>
      <c r="B655" s="2" t="s">
        <v>1347</v>
      </c>
      <c r="C655" s="2" t="str">
        <f>"985-0835"</f>
        <v>985-0835</v>
      </c>
      <c r="D655" s="2" t="str">
        <f>"多賀城市下馬2-13-15"</f>
        <v>多賀城市下馬2-13-15</v>
      </c>
      <c r="E655" s="2" t="str">
        <f>"022-366-8001  "</f>
        <v xml:space="preserve">022-366-8001  </v>
      </c>
      <c r="F655" s="2" t="s">
        <v>9</v>
      </c>
      <c r="G655" s="2" t="s">
        <v>1063</v>
      </c>
    </row>
    <row r="656" spans="1:7" ht="37.5" x14ac:dyDescent="0.4">
      <c r="A656" s="2">
        <v>655</v>
      </c>
      <c r="B656" s="2" t="s">
        <v>383</v>
      </c>
      <c r="C656" s="2" t="str">
        <f>"985-0835"</f>
        <v>985-0835</v>
      </c>
      <c r="D656" s="2" t="str">
        <f>"多賀城市下馬３－１－２８"</f>
        <v>多賀城市下馬３－１－２８</v>
      </c>
      <c r="E656" s="2" t="str">
        <f>"022-363-0213  "</f>
        <v xml:space="preserve">022-363-0213  </v>
      </c>
      <c r="F656" s="2" t="s">
        <v>6</v>
      </c>
      <c r="G656" s="2" t="s">
        <v>61</v>
      </c>
    </row>
    <row r="657" spans="1:7" x14ac:dyDescent="0.4">
      <c r="A657" s="2">
        <v>656</v>
      </c>
      <c r="B657" s="2" t="s">
        <v>1325</v>
      </c>
      <c r="C657" s="2" t="str">
        <f>"985-0835"</f>
        <v>985-0835</v>
      </c>
      <c r="D657" s="2" t="str">
        <f>"多賀城市下馬4-1-5"</f>
        <v>多賀城市下馬4-1-5</v>
      </c>
      <c r="E657" s="2" t="str">
        <f>"022-364-3681  "</f>
        <v xml:space="preserve">022-364-3681  </v>
      </c>
      <c r="F657" s="2" t="s">
        <v>9</v>
      </c>
      <c r="G657" s="2" t="s">
        <v>1063</v>
      </c>
    </row>
    <row r="658" spans="1:7" ht="37.5" x14ac:dyDescent="0.4">
      <c r="A658" s="2">
        <v>657</v>
      </c>
      <c r="B658" s="2" t="s">
        <v>978</v>
      </c>
      <c r="C658" s="2" t="str">
        <f>"985-0835"</f>
        <v>985-0835</v>
      </c>
      <c r="D658" s="2" t="str">
        <f>"多賀城市下馬５－５－３０"</f>
        <v>多賀城市下馬５－５－３０</v>
      </c>
      <c r="E658" s="2" t="str">
        <f>"022-361-8180  "</f>
        <v xml:space="preserve">022-361-8180  </v>
      </c>
      <c r="F658" s="2" t="s">
        <v>6</v>
      </c>
      <c r="G658" s="2" t="s">
        <v>902</v>
      </c>
    </row>
    <row r="659" spans="1:7" ht="37.5" x14ac:dyDescent="0.4">
      <c r="A659" s="2">
        <v>658</v>
      </c>
      <c r="B659" s="2" t="s">
        <v>1805</v>
      </c>
      <c r="C659" s="2" t="str">
        <f>"985-0831"</f>
        <v>985-0831</v>
      </c>
      <c r="D659" s="2" t="str">
        <f>"多賀城市笠神1-8-28"</f>
        <v>多賀城市笠神1-8-28</v>
      </c>
      <c r="E659" s="2" t="str">
        <f>"022-361-1311  "</f>
        <v xml:space="preserve">022-361-1311  </v>
      </c>
      <c r="F659" s="2" t="s">
        <v>11</v>
      </c>
      <c r="G659" s="2" t="s">
        <v>1151</v>
      </c>
    </row>
    <row r="660" spans="1:7" ht="37.5" x14ac:dyDescent="0.4">
      <c r="A660" s="2">
        <v>659</v>
      </c>
      <c r="B660" s="2" t="s">
        <v>380</v>
      </c>
      <c r="C660" s="2" t="str">
        <f>"985-0831"</f>
        <v>985-0831</v>
      </c>
      <c r="D660" s="2" t="str">
        <f>"多賀城市笠神４－６－１６"</f>
        <v>多賀城市笠神４－６－１６</v>
      </c>
      <c r="E660" s="2" t="str">
        <f>"022-361-8010  "</f>
        <v xml:space="preserve">022-361-8010  </v>
      </c>
      <c r="F660" s="2" t="s">
        <v>6</v>
      </c>
      <c r="G660" s="2" t="s">
        <v>381</v>
      </c>
    </row>
    <row r="661" spans="1:7" x14ac:dyDescent="0.4">
      <c r="A661" s="2">
        <v>660</v>
      </c>
      <c r="B661" s="2" t="s">
        <v>1344</v>
      </c>
      <c r="C661" s="2" t="str">
        <f>"985-0051"</f>
        <v>985-0051</v>
      </c>
      <c r="D661" s="2" t="str">
        <f>"多賀城市笠神4-6-17"</f>
        <v>多賀城市笠神4-6-17</v>
      </c>
      <c r="E661" s="2" t="str">
        <f>"022-363-2267  "</f>
        <v xml:space="preserve">022-363-2267  </v>
      </c>
      <c r="F661" s="2" t="s">
        <v>9</v>
      </c>
      <c r="G661" s="2" t="s">
        <v>1063</v>
      </c>
    </row>
    <row r="662" spans="1:7" x14ac:dyDescent="0.4">
      <c r="A662" s="2">
        <v>661</v>
      </c>
      <c r="B662" s="2" t="s">
        <v>1354</v>
      </c>
      <c r="C662" s="2" t="str">
        <f>"985-0831"</f>
        <v>985-0831</v>
      </c>
      <c r="D662" s="2" t="str">
        <f>"多賀城市笠神４－６－９"</f>
        <v>多賀城市笠神４－６－９</v>
      </c>
      <c r="E662" s="2" t="str">
        <f>"022-349-5765  "</f>
        <v xml:space="preserve">022-349-5765  </v>
      </c>
      <c r="F662" s="2" t="s">
        <v>9</v>
      </c>
      <c r="G662" s="2" t="s">
        <v>1063</v>
      </c>
    </row>
    <row r="663" spans="1:7" x14ac:dyDescent="0.4">
      <c r="A663" s="2">
        <v>662</v>
      </c>
      <c r="B663" s="2" t="s">
        <v>1348</v>
      </c>
      <c r="C663" s="2" t="str">
        <f>"985-0831"</f>
        <v>985-0831</v>
      </c>
      <c r="D663" s="2" t="str">
        <f>"多賀城市笠神4-8-1"</f>
        <v>多賀城市笠神4-8-1</v>
      </c>
      <c r="E663" s="2" t="str">
        <f>"022-361-0350  "</f>
        <v xml:space="preserve">022-361-0350  </v>
      </c>
      <c r="F663" s="2" t="s">
        <v>9</v>
      </c>
      <c r="G663" s="2" t="s">
        <v>1129</v>
      </c>
    </row>
    <row r="664" spans="1:7" ht="37.5" x14ac:dyDescent="0.4">
      <c r="A664" s="2">
        <v>663</v>
      </c>
      <c r="B664" s="2" t="s">
        <v>402</v>
      </c>
      <c r="C664" s="2" t="str">
        <f>"985-0831"</f>
        <v>985-0831</v>
      </c>
      <c r="D664" s="2" t="s">
        <v>403</v>
      </c>
      <c r="E664" s="2" t="str">
        <f>"022-766-8239  "</f>
        <v xml:space="preserve">022-766-8239  </v>
      </c>
      <c r="F664" s="2" t="s">
        <v>6</v>
      </c>
      <c r="G664" s="2" t="s">
        <v>48</v>
      </c>
    </row>
    <row r="665" spans="1:7" ht="37.5" x14ac:dyDescent="0.4">
      <c r="A665" s="2">
        <v>664</v>
      </c>
      <c r="B665" s="2" t="s">
        <v>394</v>
      </c>
      <c r="C665" s="2" t="str">
        <f>"985-0831"</f>
        <v>985-0831</v>
      </c>
      <c r="D665" s="2" t="str">
        <f>"多賀城市笠神４丁目８－３"</f>
        <v>多賀城市笠神４丁目８－３</v>
      </c>
      <c r="E665" s="2" t="str">
        <f>"022-762-6560  "</f>
        <v xml:space="preserve">022-762-6560  </v>
      </c>
      <c r="F665" s="2" t="s">
        <v>6</v>
      </c>
      <c r="G665" s="2" t="s">
        <v>395</v>
      </c>
    </row>
    <row r="666" spans="1:7" ht="37.5" x14ac:dyDescent="0.4">
      <c r="A666" s="2">
        <v>665</v>
      </c>
      <c r="B666" s="2" t="s">
        <v>364</v>
      </c>
      <c r="C666" s="2" t="str">
        <f>"985-0853"</f>
        <v>985-0853</v>
      </c>
      <c r="D666" s="2" t="str">
        <f>"多賀城市高橋　１－４－１３"</f>
        <v>多賀城市高橋　１－４－１３</v>
      </c>
      <c r="E666" s="2" t="str">
        <f>"022-309-3050  "</f>
        <v xml:space="preserve">022-309-3050  </v>
      </c>
      <c r="F666" s="2" t="s">
        <v>6</v>
      </c>
      <c r="G666" s="2" t="s">
        <v>365</v>
      </c>
    </row>
    <row r="667" spans="1:7" ht="37.5" x14ac:dyDescent="0.4">
      <c r="A667" s="2">
        <v>666</v>
      </c>
      <c r="B667" s="2" t="s">
        <v>378</v>
      </c>
      <c r="C667" s="2" t="str">
        <f>"985-0853"</f>
        <v>985-0853</v>
      </c>
      <c r="D667" s="2" t="str">
        <f>"多賀城市高橋　４－１４－６"</f>
        <v>多賀城市高橋　４－１４－６</v>
      </c>
      <c r="E667" s="2" t="str">
        <f>"022-389-1760  "</f>
        <v xml:space="preserve">022-389-1760  </v>
      </c>
      <c r="F667" s="2" t="s">
        <v>6</v>
      </c>
      <c r="G667" s="2" t="s">
        <v>379</v>
      </c>
    </row>
    <row r="668" spans="1:7" ht="37.5" x14ac:dyDescent="0.4">
      <c r="A668" s="2">
        <v>667</v>
      </c>
      <c r="B668" s="2" t="s">
        <v>1333</v>
      </c>
      <c r="C668" s="2" t="str">
        <f>"985-0853"</f>
        <v>985-0853</v>
      </c>
      <c r="D668" s="2" t="str">
        <f>"多賀城市高橋１丁目３－２５－１"</f>
        <v>多賀城市高橋１丁目３－２５－１</v>
      </c>
      <c r="E668" s="2" t="str">
        <f>"022-309-6543  "</f>
        <v xml:space="preserve">022-309-6543  </v>
      </c>
      <c r="F668" s="2" t="s">
        <v>9</v>
      </c>
      <c r="G668" s="2" t="s">
        <v>1063</v>
      </c>
    </row>
    <row r="669" spans="1:7" ht="37.5" x14ac:dyDescent="0.4">
      <c r="A669" s="2">
        <v>668</v>
      </c>
      <c r="B669" s="2" t="s">
        <v>1349</v>
      </c>
      <c r="C669" s="2" t="str">
        <f>"985-0853"</f>
        <v>985-0853</v>
      </c>
      <c r="D669" s="2" t="str">
        <f>"多賀城市高橋２－１５－２７"</f>
        <v>多賀城市高橋２－１５－２７</v>
      </c>
      <c r="E669" s="2" t="str">
        <f>"022-290-5961  "</f>
        <v xml:space="preserve">022-290-5961  </v>
      </c>
      <c r="F669" s="2" t="s">
        <v>9</v>
      </c>
      <c r="G669" s="2" t="s">
        <v>1063</v>
      </c>
    </row>
    <row r="670" spans="1:7" x14ac:dyDescent="0.4">
      <c r="A670" s="2">
        <v>669</v>
      </c>
      <c r="B670" s="2" t="s">
        <v>396</v>
      </c>
      <c r="C670" s="2" t="str">
        <f>"985-0853"</f>
        <v>985-0853</v>
      </c>
      <c r="D670" s="2" t="str">
        <f>"多賀城市高橋2丁目15－28"</f>
        <v>多賀城市高橋2丁目15－28</v>
      </c>
      <c r="E670" s="2" t="str">
        <f>"022-794-7201  "</f>
        <v xml:space="preserve">022-794-7201  </v>
      </c>
      <c r="F670" s="2" t="s">
        <v>6</v>
      </c>
      <c r="G670" s="2" t="s">
        <v>397</v>
      </c>
    </row>
    <row r="671" spans="1:7" ht="37.5" x14ac:dyDescent="0.4">
      <c r="A671" s="2">
        <v>670</v>
      </c>
      <c r="B671" s="2" t="s">
        <v>1330</v>
      </c>
      <c r="C671" s="2" t="str">
        <f>"985-0853"</f>
        <v>985-0853</v>
      </c>
      <c r="D671" s="2" t="s">
        <v>1331</v>
      </c>
      <c r="E671" s="2" t="str">
        <f>"022-389-2528  "</f>
        <v xml:space="preserve">022-389-2528  </v>
      </c>
      <c r="F671" s="2" t="s">
        <v>9</v>
      </c>
      <c r="G671" s="2" t="s">
        <v>1063</v>
      </c>
    </row>
    <row r="672" spans="1:7" ht="37.5" x14ac:dyDescent="0.4">
      <c r="A672" s="2">
        <v>671</v>
      </c>
      <c r="B672" s="2" t="s">
        <v>1339</v>
      </c>
      <c r="C672" s="2" t="str">
        <f>"985-0853"</f>
        <v>985-0853</v>
      </c>
      <c r="D672" s="2" t="str">
        <f>"多賀城市高橋４丁目２０－４"</f>
        <v>多賀城市高橋４丁目２０－４</v>
      </c>
      <c r="E672" s="2" t="str">
        <f>"022-762-9311  "</f>
        <v xml:space="preserve">022-762-9311  </v>
      </c>
      <c r="F672" s="2" t="s">
        <v>9</v>
      </c>
      <c r="G672" s="2" t="s">
        <v>1063</v>
      </c>
    </row>
    <row r="673" spans="1:7" ht="37.5" x14ac:dyDescent="0.4">
      <c r="A673" s="2">
        <v>672</v>
      </c>
      <c r="B673" s="2" t="s">
        <v>392</v>
      </c>
      <c r="C673" s="2" t="str">
        <f>"985-0853"</f>
        <v>985-0853</v>
      </c>
      <c r="D673" s="2" t="str">
        <f>"多賀城市高橋４丁目２０-５"</f>
        <v>多賀城市高橋４丁目２０-５</v>
      </c>
      <c r="E673" s="2" t="str">
        <f>"022-762-8806  "</f>
        <v xml:space="preserve">022-762-8806  </v>
      </c>
      <c r="F673" s="2" t="s">
        <v>6</v>
      </c>
      <c r="G673" s="2" t="s">
        <v>18</v>
      </c>
    </row>
    <row r="674" spans="1:7" ht="37.5" x14ac:dyDescent="0.4">
      <c r="A674" s="2">
        <v>673</v>
      </c>
      <c r="B674" s="2" t="s">
        <v>1334</v>
      </c>
      <c r="C674" s="2" t="str">
        <f>"985-0853"</f>
        <v>985-0853</v>
      </c>
      <c r="D674" s="2" t="str">
        <f>"多賀城市高橋５－１６－２"</f>
        <v>多賀城市高橋５－１６－２</v>
      </c>
      <c r="E674" s="2" t="str">
        <f>"022-309-8870  "</f>
        <v xml:space="preserve">022-309-8870  </v>
      </c>
      <c r="F674" s="2" t="s">
        <v>9</v>
      </c>
      <c r="G674" s="2" t="s">
        <v>1063</v>
      </c>
    </row>
    <row r="675" spans="1:7" ht="37.5" x14ac:dyDescent="0.4">
      <c r="A675" s="2">
        <v>674</v>
      </c>
      <c r="B675" s="2" t="s">
        <v>376</v>
      </c>
      <c r="C675" s="2" t="str">
        <f>"985-0853"</f>
        <v>985-0853</v>
      </c>
      <c r="D675" s="2" t="str">
        <f>"多賀城市高橋５－３－２"</f>
        <v>多賀城市高橋５－３－２</v>
      </c>
      <c r="E675" s="2" t="str">
        <f>"022-389-2575  "</f>
        <v xml:space="preserve">022-389-2575  </v>
      </c>
      <c r="F675" s="2" t="s">
        <v>6</v>
      </c>
      <c r="G675" s="2" t="s">
        <v>377</v>
      </c>
    </row>
    <row r="676" spans="1:7" ht="37.5" x14ac:dyDescent="0.4">
      <c r="A676" s="2">
        <v>675</v>
      </c>
      <c r="B676" s="2" t="s">
        <v>390</v>
      </c>
      <c r="C676" s="2" t="str">
        <f>"985-0853"</f>
        <v>985-0853</v>
      </c>
      <c r="D676" s="2" t="s">
        <v>391</v>
      </c>
      <c r="E676" s="2" t="str">
        <f>"022-368-8805  "</f>
        <v xml:space="preserve">022-368-8805  </v>
      </c>
      <c r="F676" s="2" t="s">
        <v>6</v>
      </c>
      <c r="G676" s="2" t="s">
        <v>48</v>
      </c>
    </row>
    <row r="677" spans="1:7" ht="56.25" x14ac:dyDescent="0.4">
      <c r="A677" s="2">
        <v>676</v>
      </c>
      <c r="B677" s="2" t="s">
        <v>1327</v>
      </c>
      <c r="C677" s="2" t="str">
        <f>"985-0862"</f>
        <v>985-0862</v>
      </c>
      <c r="D677" s="2" t="s">
        <v>1328</v>
      </c>
      <c r="E677" s="2" t="str">
        <f>"022-389-0670  "</f>
        <v xml:space="preserve">022-389-0670  </v>
      </c>
      <c r="F677" s="2" t="s">
        <v>9</v>
      </c>
      <c r="G677" s="2" t="s">
        <v>1063</v>
      </c>
    </row>
    <row r="678" spans="1:7" ht="37.5" x14ac:dyDescent="0.4">
      <c r="A678" s="2">
        <v>677</v>
      </c>
      <c r="B678" s="2" t="s">
        <v>360</v>
      </c>
      <c r="C678" s="2" t="str">
        <f>"985-0862"</f>
        <v>985-0862</v>
      </c>
      <c r="D678" s="2" t="s">
        <v>361</v>
      </c>
      <c r="E678" s="2" t="str">
        <f>"022-368-8081  "</f>
        <v xml:space="preserve">022-368-8081  </v>
      </c>
      <c r="F678" s="2" t="s">
        <v>6</v>
      </c>
      <c r="G678" s="2" t="s">
        <v>79</v>
      </c>
    </row>
    <row r="679" spans="1:7" ht="37.5" x14ac:dyDescent="0.4">
      <c r="A679" s="2">
        <v>678</v>
      </c>
      <c r="B679" s="2" t="s">
        <v>1329</v>
      </c>
      <c r="C679" s="2" t="str">
        <f>"985-0862"</f>
        <v>985-0862</v>
      </c>
      <c r="D679" s="2" t="str">
        <f>"多賀城市高崎３－２７－１６"</f>
        <v>多賀城市高崎３－２７－１６</v>
      </c>
      <c r="E679" s="2" t="str">
        <f>"022-309-3077  "</f>
        <v xml:space="preserve">022-309-3077  </v>
      </c>
      <c r="F679" s="2" t="s">
        <v>9</v>
      </c>
      <c r="G679" s="2" t="s">
        <v>1063</v>
      </c>
    </row>
    <row r="680" spans="1:7" ht="37.5" x14ac:dyDescent="0.4">
      <c r="A680" s="2">
        <v>679</v>
      </c>
      <c r="B680" s="2" t="s">
        <v>354</v>
      </c>
      <c r="C680" s="2" t="str">
        <f>"985-0842"</f>
        <v>985-0842</v>
      </c>
      <c r="D680" s="2" t="s">
        <v>355</v>
      </c>
      <c r="E680" s="2" t="str">
        <f>"022-367-4111  "</f>
        <v xml:space="preserve">022-367-4111  </v>
      </c>
      <c r="F680" s="2" t="s">
        <v>6</v>
      </c>
      <c r="G680" s="2" t="s">
        <v>356</v>
      </c>
    </row>
    <row r="681" spans="1:7" ht="37.5" x14ac:dyDescent="0.4">
      <c r="A681" s="2">
        <v>680</v>
      </c>
      <c r="B681" s="2" t="s">
        <v>1806</v>
      </c>
      <c r="C681" s="2" t="str">
        <f>"985-0842"</f>
        <v>985-0842</v>
      </c>
      <c r="D681" s="2" t="str">
        <f>"多賀城市桜木２丁目１－１"</f>
        <v>多賀城市桜木２丁目１－１</v>
      </c>
      <c r="E681" s="2" t="str">
        <f>"022-367-0501  "</f>
        <v xml:space="preserve">022-367-0501  </v>
      </c>
      <c r="F681" s="2" t="s">
        <v>11</v>
      </c>
      <c r="G681" s="2" t="s">
        <v>1151</v>
      </c>
    </row>
    <row r="682" spans="1:7" ht="37.5" x14ac:dyDescent="0.4">
      <c r="A682" s="2">
        <v>681</v>
      </c>
      <c r="B682" s="2" t="s">
        <v>385</v>
      </c>
      <c r="C682" s="2" t="str">
        <f>"985-0842"</f>
        <v>985-0842</v>
      </c>
      <c r="D682" s="2" t="str">
        <f>"多賀城市桜木一丁目１－２０"</f>
        <v>多賀城市桜木一丁目１－２０</v>
      </c>
      <c r="E682" s="2" t="str">
        <f>"022-364-4335  "</f>
        <v xml:space="preserve">022-364-4335  </v>
      </c>
      <c r="F682" s="2" t="s">
        <v>6</v>
      </c>
      <c r="G682" s="2" t="s">
        <v>20</v>
      </c>
    </row>
    <row r="683" spans="1:7" ht="37.5" x14ac:dyDescent="0.4">
      <c r="A683" s="2">
        <v>682</v>
      </c>
      <c r="B683" s="2" t="s">
        <v>1335</v>
      </c>
      <c r="C683" s="2" t="str">
        <f>"985-0842"</f>
        <v>985-0842</v>
      </c>
      <c r="D683" s="2" t="str">
        <f>"多賀城市桜木二丁目１－５"</f>
        <v>多賀城市桜木二丁目１－５</v>
      </c>
      <c r="E683" s="2" t="str">
        <f>"022-361-3581  "</f>
        <v xml:space="preserve">022-361-3581  </v>
      </c>
      <c r="F683" s="2" t="s">
        <v>9</v>
      </c>
      <c r="G683" s="2" t="s">
        <v>1129</v>
      </c>
    </row>
    <row r="684" spans="1:7" ht="37.5" x14ac:dyDescent="0.4">
      <c r="A684" s="2">
        <v>683</v>
      </c>
      <c r="B684" s="2" t="s">
        <v>1341</v>
      </c>
      <c r="C684" s="2" t="str">
        <f>"985-0852"</f>
        <v>985-0852</v>
      </c>
      <c r="D684" s="2" t="str">
        <f>"多賀城市山王字中山王13-1"</f>
        <v>多賀城市山王字中山王13-1</v>
      </c>
      <c r="E684" s="2" t="str">
        <f>"022-389-1231  "</f>
        <v xml:space="preserve">022-389-1231  </v>
      </c>
      <c r="F684" s="2" t="s">
        <v>9</v>
      </c>
      <c r="G684" s="2" t="s">
        <v>1063</v>
      </c>
    </row>
    <row r="685" spans="1:7" ht="37.5" x14ac:dyDescent="0.4">
      <c r="A685" s="2">
        <v>684</v>
      </c>
      <c r="B685" s="2" t="s">
        <v>362</v>
      </c>
      <c r="C685" s="2" t="str">
        <f>"985-0852"</f>
        <v>985-0852</v>
      </c>
      <c r="D685" s="2" t="s">
        <v>363</v>
      </c>
      <c r="E685" s="2" t="str">
        <f>"022-368-2200  "</f>
        <v xml:space="preserve">022-368-2200  </v>
      </c>
      <c r="F685" s="2" t="s">
        <v>6</v>
      </c>
      <c r="G685" s="2" t="s">
        <v>34</v>
      </c>
    </row>
    <row r="686" spans="1:7" x14ac:dyDescent="0.4">
      <c r="A686" s="2">
        <v>685</v>
      </c>
      <c r="B686" s="2" t="s">
        <v>1340</v>
      </c>
      <c r="C686" s="2" t="str">
        <f>"985-0865"</f>
        <v>985-0865</v>
      </c>
      <c r="D686" s="2" t="str">
        <f>"多賀城市城南1丁目10-19"</f>
        <v>多賀城市城南1丁目10-19</v>
      </c>
      <c r="E686" s="2" t="str">
        <f>"022-762-9272  "</f>
        <v xml:space="preserve">022-762-9272  </v>
      </c>
      <c r="F686" s="2" t="s">
        <v>9</v>
      </c>
      <c r="G686" s="2" t="s">
        <v>1063</v>
      </c>
    </row>
    <row r="687" spans="1:7" ht="37.5" x14ac:dyDescent="0.4">
      <c r="A687" s="2">
        <v>686</v>
      </c>
      <c r="B687" s="2" t="s">
        <v>386</v>
      </c>
      <c r="C687" s="2" t="str">
        <f>"985-0865"</f>
        <v>985-0865</v>
      </c>
      <c r="D687" s="2" t="str">
        <f>"多賀城市城南１丁目１０－６"</f>
        <v>多賀城市城南１丁目１０－６</v>
      </c>
      <c r="E687" s="2" t="str">
        <f>"022-781-7725  "</f>
        <v xml:space="preserve">022-781-7725  </v>
      </c>
      <c r="F687" s="2" t="s">
        <v>6</v>
      </c>
      <c r="G687" s="2" t="s">
        <v>387</v>
      </c>
    </row>
    <row r="688" spans="1:7" ht="37.5" x14ac:dyDescent="0.4">
      <c r="A688" s="2">
        <v>687</v>
      </c>
      <c r="B688" s="2" t="s">
        <v>1351</v>
      </c>
      <c r="C688" s="2" t="str">
        <f>"985-0865"</f>
        <v>985-0865</v>
      </c>
      <c r="D688" s="2" t="s">
        <v>1352</v>
      </c>
      <c r="E688" s="2" t="str">
        <f>"022-357-0433  "</f>
        <v xml:space="preserve">022-357-0433  </v>
      </c>
      <c r="F688" s="2" t="s">
        <v>9</v>
      </c>
      <c r="G688" s="2" t="s">
        <v>1063</v>
      </c>
    </row>
    <row r="689" spans="1:7" ht="37.5" x14ac:dyDescent="0.4">
      <c r="A689" s="2">
        <v>688</v>
      </c>
      <c r="B689" s="2" t="s">
        <v>400</v>
      </c>
      <c r="C689" s="2" t="str">
        <f>"985-0865"</f>
        <v>985-0865</v>
      </c>
      <c r="D689" s="2" t="s">
        <v>401</v>
      </c>
      <c r="E689" s="2" t="str">
        <f>"022-355-5415  "</f>
        <v xml:space="preserve">022-355-5415  </v>
      </c>
      <c r="F689" s="2" t="s">
        <v>6</v>
      </c>
      <c r="G689" s="2" t="s">
        <v>26</v>
      </c>
    </row>
    <row r="690" spans="1:7" ht="37.5" x14ac:dyDescent="0.4">
      <c r="A690" s="2">
        <v>689</v>
      </c>
      <c r="B690" s="2" t="s">
        <v>1350</v>
      </c>
      <c r="C690" s="2" t="str">
        <f>"985-0865"</f>
        <v>985-0865</v>
      </c>
      <c r="D690" s="2" t="str">
        <f>"多賀城市城南２－１４－７"</f>
        <v>多賀城市城南２－１４－７</v>
      </c>
      <c r="E690" s="2" t="str">
        <f>"022-762-5540  "</f>
        <v xml:space="preserve">022-762-5540  </v>
      </c>
      <c r="F690" s="2" t="s">
        <v>9</v>
      </c>
      <c r="G690" s="2" t="s">
        <v>1063</v>
      </c>
    </row>
    <row r="691" spans="1:7" ht="37.5" x14ac:dyDescent="0.4">
      <c r="A691" s="2">
        <v>690</v>
      </c>
      <c r="B691" s="2" t="s">
        <v>1804</v>
      </c>
      <c r="C691" s="2" t="str">
        <f>"985-0865"</f>
        <v>985-0865</v>
      </c>
      <c r="D691" s="2" t="str">
        <f>"多賀城市城南２－１５－１７"</f>
        <v>多賀城市城南２－１５－１７</v>
      </c>
      <c r="E691" s="2" t="str">
        <f>"022-762-9711  "</f>
        <v xml:space="preserve">022-762-9711  </v>
      </c>
      <c r="F691" s="2" t="s">
        <v>11</v>
      </c>
      <c r="G691" s="2" t="s">
        <v>1151</v>
      </c>
    </row>
    <row r="692" spans="1:7" ht="37.5" x14ac:dyDescent="0.4">
      <c r="A692" s="2">
        <v>691</v>
      </c>
      <c r="B692" s="2" t="s">
        <v>976</v>
      </c>
      <c r="C692" s="2" t="str">
        <f>"985-0854"</f>
        <v>985-0854</v>
      </c>
      <c r="D692" s="2" t="s">
        <v>977</v>
      </c>
      <c r="E692" s="2" t="str">
        <f>"022-389-1015  "</f>
        <v xml:space="preserve">022-389-1015  </v>
      </c>
      <c r="F692" s="2" t="s">
        <v>6</v>
      </c>
      <c r="G692" s="2" t="s">
        <v>910</v>
      </c>
    </row>
    <row r="693" spans="1:7" ht="37.5" x14ac:dyDescent="0.4">
      <c r="A693" s="2">
        <v>692</v>
      </c>
      <c r="B693" s="2" t="s">
        <v>370</v>
      </c>
      <c r="C693" s="2" t="str">
        <f>"985-0832"</f>
        <v>985-0832</v>
      </c>
      <c r="D693" s="2" t="s">
        <v>371</v>
      </c>
      <c r="E693" s="2" t="str">
        <f>"022-365-5050  "</f>
        <v xml:space="preserve">022-365-5050  </v>
      </c>
      <c r="F693" s="2" t="s">
        <v>6</v>
      </c>
      <c r="G693" s="2" t="s">
        <v>204</v>
      </c>
    </row>
    <row r="694" spans="1:7" x14ac:dyDescent="0.4">
      <c r="A694" s="2">
        <v>693</v>
      </c>
      <c r="B694" s="2" t="s">
        <v>374</v>
      </c>
      <c r="C694" s="2" t="str">
        <f>"985-0832"</f>
        <v>985-0832</v>
      </c>
      <c r="D694" s="2" t="s">
        <v>375</v>
      </c>
      <c r="E694" s="2" t="str">
        <f>"022-366-8855  "</f>
        <v xml:space="preserve">022-366-8855  </v>
      </c>
      <c r="F694" s="2" t="s">
        <v>6</v>
      </c>
      <c r="G694" s="2" t="s">
        <v>48</v>
      </c>
    </row>
    <row r="695" spans="1:7" ht="37.5" x14ac:dyDescent="0.4">
      <c r="A695" s="2">
        <v>694</v>
      </c>
      <c r="B695" s="2" t="s">
        <v>1332</v>
      </c>
      <c r="C695" s="2" t="str">
        <f>"985-0873"</f>
        <v>985-0873</v>
      </c>
      <c r="D695" s="2" t="str">
        <f>"多賀城市中央　１－１６－９"</f>
        <v>多賀城市中央　１－１６－９</v>
      </c>
      <c r="E695" s="2" t="str">
        <f>"022-389-1611  "</f>
        <v xml:space="preserve">022-389-1611  </v>
      </c>
      <c r="F695" s="2" t="s">
        <v>9</v>
      </c>
      <c r="G695" s="2" t="s">
        <v>1063</v>
      </c>
    </row>
    <row r="696" spans="1:7" ht="37.5" x14ac:dyDescent="0.4">
      <c r="A696" s="2">
        <v>695</v>
      </c>
      <c r="B696" s="2" t="s">
        <v>382</v>
      </c>
      <c r="C696" s="2" t="str">
        <f>"985-0873"</f>
        <v>985-0873</v>
      </c>
      <c r="D696" s="2" t="str">
        <f>"多賀城市中央１－１６－６"</f>
        <v>多賀城市中央１－１６－６</v>
      </c>
      <c r="E696" s="2" t="str">
        <f>"022-309-4970  "</f>
        <v xml:space="preserve">022-309-4970  </v>
      </c>
      <c r="F696" s="2" t="s">
        <v>6</v>
      </c>
      <c r="G696" s="2" t="s">
        <v>84</v>
      </c>
    </row>
    <row r="697" spans="1:7" ht="37.5" x14ac:dyDescent="0.4">
      <c r="A697" s="2">
        <v>696</v>
      </c>
      <c r="B697" s="2" t="s">
        <v>384</v>
      </c>
      <c r="C697" s="2" t="str">
        <f>"985-0873"</f>
        <v>985-0873</v>
      </c>
      <c r="D697" s="2" t="str">
        <f>"多賀城市中央３丁目１０－５Ｏｇｇｅビル３Ｆ"</f>
        <v>多賀城市中央３丁目１０－５Ｏｇｇｅビル３Ｆ</v>
      </c>
      <c r="E697" s="2" t="str">
        <f>"022-352-1580  "</f>
        <v xml:space="preserve">022-352-1580  </v>
      </c>
      <c r="F697" s="2" t="s">
        <v>6</v>
      </c>
      <c r="G697" s="2" t="s">
        <v>91</v>
      </c>
    </row>
    <row r="698" spans="1:7" ht="37.5" x14ac:dyDescent="0.4">
      <c r="A698" s="2">
        <v>697</v>
      </c>
      <c r="B698" s="2" t="s">
        <v>1337</v>
      </c>
      <c r="C698" s="2" t="str">
        <f>"985-0873"</f>
        <v>985-0873</v>
      </c>
      <c r="D698" s="2" t="str">
        <f>"多賀城市中央３丁目１０－５号OGGEビル１F"</f>
        <v>多賀城市中央３丁目１０－５号OGGEビル１F</v>
      </c>
      <c r="E698" s="2" t="str">
        <f>"022-385-6430  "</f>
        <v xml:space="preserve">022-385-6430  </v>
      </c>
      <c r="F698" s="2" t="s">
        <v>9</v>
      </c>
      <c r="G698" s="2" t="s">
        <v>1063</v>
      </c>
    </row>
    <row r="699" spans="1:7" ht="37.5" x14ac:dyDescent="0.4">
      <c r="A699" s="2">
        <v>698</v>
      </c>
      <c r="B699" s="2" t="s">
        <v>1355</v>
      </c>
      <c r="C699" s="2" t="str">
        <f>"985-0873"</f>
        <v>985-0873</v>
      </c>
      <c r="D699" s="2" t="s">
        <v>1356</v>
      </c>
      <c r="E699" s="2" t="str">
        <f>"022-762-6630  "</f>
        <v xml:space="preserve">022-762-6630  </v>
      </c>
      <c r="F699" s="2" t="s">
        <v>9</v>
      </c>
      <c r="G699" s="2"/>
    </row>
    <row r="700" spans="1:7" ht="37.5" x14ac:dyDescent="0.4">
      <c r="A700" s="2">
        <v>699</v>
      </c>
      <c r="B700" s="2" t="s">
        <v>1807</v>
      </c>
      <c r="C700" s="2" t="str">
        <f>"985-0845"</f>
        <v>985-0845</v>
      </c>
      <c r="D700" s="2" t="s">
        <v>1808</v>
      </c>
      <c r="E700" s="2" t="str">
        <f>"022-363-5539  "</f>
        <v xml:space="preserve">022-363-5539  </v>
      </c>
      <c r="F700" s="2" t="s">
        <v>11</v>
      </c>
      <c r="G700" s="2" t="s">
        <v>1151</v>
      </c>
    </row>
    <row r="701" spans="1:7" ht="37.5" x14ac:dyDescent="0.4">
      <c r="A701" s="2">
        <v>700</v>
      </c>
      <c r="B701" s="2" t="s">
        <v>1336</v>
      </c>
      <c r="C701" s="2" t="str">
        <f>"985-0845"</f>
        <v>985-0845</v>
      </c>
      <c r="D701" s="2" t="s">
        <v>1353</v>
      </c>
      <c r="E701" s="2" t="str">
        <f>"022-367-8850  "</f>
        <v xml:space="preserve">022-367-8850  </v>
      </c>
      <c r="F701" s="2" t="s">
        <v>9</v>
      </c>
      <c r="G701" s="2" t="s">
        <v>1063</v>
      </c>
    </row>
    <row r="702" spans="1:7" ht="37.5" x14ac:dyDescent="0.4">
      <c r="A702" s="2">
        <v>701</v>
      </c>
      <c r="B702" s="2" t="s">
        <v>1323</v>
      </c>
      <c r="C702" s="2" t="str">
        <f>"985-0841"</f>
        <v>985-0841</v>
      </c>
      <c r="D702" s="2" t="s">
        <v>1324</v>
      </c>
      <c r="E702" s="2" t="str">
        <f>"022-364-0709  "</f>
        <v xml:space="preserve">022-364-0709  </v>
      </c>
      <c r="F702" s="2" t="s">
        <v>9</v>
      </c>
      <c r="G702" s="2" t="s">
        <v>1063</v>
      </c>
    </row>
    <row r="703" spans="1:7" ht="37.5" x14ac:dyDescent="0.4">
      <c r="A703" s="2">
        <v>702</v>
      </c>
      <c r="B703" s="2" t="s">
        <v>970</v>
      </c>
      <c r="C703" s="2" t="str">
        <f>"985-0841"</f>
        <v>985-0841</v>
      </c>
      <c r="D703" s="2" t="s">
        <v>971</v>
      </c>
      <c r="E703" s="2" t="str">
        <f>"022-362-4344  "</f>
        <v xml:space="preserve">022-362-4344  </v>
      </c>
      <c r="F703" s="2" t="s">
        <v>6</v>
      </c>
      <c r="G703" s="2" t="s">
        <v>902</v>
      </c>
    </row>
    <row r="704" spans="1:7" ht="56.25" x14ac:dyDescent="0.4">
      <c r="A704" s="2">
        <v>703</v>
      </c>
      <c r="B704" s="2" t="s">
        <v>1809</v>
      </c>
      <c r="C704" s="2" t="str">
        <f>"985-0872"</f>
        <v>985-0872</v>
      </c>
      <c r="D704" s="2" t="str">
        <f>"多賀城市伝上山4-3-20ファミールかんのＡ103号室"</f>
        <v>多賀城市伝上山4-3-20ファミールかんのＡ103号室</v>
      </c>
      <c r="E704" s="2" t="str">
        <f>"022-353-5940  "</f>
        <v xml:space="preserve">022-353-5940  </v>
      </c>
      <c r="F704" s="2" t="s">
        <v>11</v>
      </c>
      <c r="G704" s="2" t="s">
        <v>1151</v>
      </c>
    </row>
    <row r="705" spans="1:7" ht="37.5" x14ac:dyDescent="0.4">
      <c r="A705" s="2">
        <v>704</v>
      </c>
      <c r="B705" s="2" t="s">
        <v>1342</v>
      </c>
      <c r="C705" s="2" t="str">
        <f>"985-0863"</f>
        <v>985-0863</v>
      </c>
      <c r="D705" s="2" t="s">
        <v>1343</v>
      </c>
      <c r="E705" s="2" t="str">
        <f>"022-361-3100  "</f>
        <v xml:space="preserve">022-361-3100  </v>
      </c>
      <c r="F705" s="2" t="s">
        <v>9</v>
      </c>
      <c r="G705" s="2" t="s">
        <v>1063</v>
      </c>
    </row>
    <row r="706" spans="1:7" ht="56.25" x14ac:dyDescent="0.4">
      <c r="A706" s="2">
        <v>705</v>
      </c>
      <c r="B706" s="2" t="s">
        <v>388</v>
      </c>
      <c r="C706" s="2" t="str">
        <f>"985-0863"</f>
        <v>985-0863</v>
      </c>
      <c r="D706" s="2" t="str">
        <f>"多賀城市東田中２－２－３ベルステーションビル３Ｂ"</f>
        <v>多賀城市東田中２－２－３ベルステーションビル３Ｂ</v>
      </c>
      <c r="E706" s="2" t="str">
        <f>"022-353-6261  "</f>
        <v xml:space="preserve">022-353-6261  </v>
      </c>
      <c r="F706" s="2" t="s">
        <v>6</v>
      </c>
      <c r="G706" s="2" t="s">
        <v>389</v>
      </c>
    </row>
    <row r="707" spans="1:7" ht="37.5" x14ac:dyDescent="0.4">
      <c r="A707" s="2">
        <v>706</v>
      </c>
      <c r="B707" s="2" t="s">
        <v>398</v>
      </c>
      <c r="C707" s="2" t="str">
        <f>"985-0863"</f>
        <v>985-0863</v>
      </c>
      <c r="D707" s="2" t="str">
        <f>"多賀城市東田中２－４０－３２－１０５"</f>
        <v>多賀城市東田中２－４０－３２－１０５</v>
      </c>
      <c r="E707" s="2" t="str">
        <f>"022-385-5745  "</f>
        <v xml:space="preserve">022-385-5745  </v>
      </c>
      <c r="F707" s="2" t="s">
        <v>6</v>
      </c>
      <c r="G707" s="2" t="s">
        <v>399</v>
      </c>
    </row>
    <row r="708" spans="1:7" ht="37.5" x14ac:dyDescent="0.4">
      <c r="A708" s="2">
        <v>707</v>
      </c>
      <c r="B708" s="2" t="s">
        <v>393</v>
      </c>
      <c r="C708" s="2" t="str">
        <f>"985-0863"</f>
        <v>985-0863</v>
      </c>
      <c r="D708" s="2" t="str">
        <f>"多賀城市東田中字志引85-1"</f>
        <v>多賀城市東田中字志引85-1</v>
      </c>
      <c r="E708" s="2" t="str">
        <f>"022-354-0231  "</f>
        <v xml:space="preserve">022-354-0231  </v>
      </c>
      <c r="F708" s="2" t="s">
        <v>6</v>
      </c>
      <c r="G708" s="2" t="s">
        <v>274</v>
      </c>
    </row>
    <row r="709" spans="1:7" ht="37.5" x14ac:dyDescent="0.4">
      <c r="A709" s="2">
        <v>708</v>
      </c>
      <c r="B709" s="2" t="s">
        <v>1345</v>
      </c>
      <c r="C709" s="2" t="str">
        <f>"985-0863"</f>
        <v>985-0863</v>
      </c>
      <c r="D709" s="2" t="s">
        <v>1346</v>
      </c>
      <c r="E709" s="2" t="str">
        <f>"022-290-3320  "</f>
        <v xml:space="preserve">022-290-3320  </v>
      </c>
      <c r="F709" s="2" t="s">
        <v>9</v>
      </c>
      <c r="G709" s="2" t="s">
        <v>1129</v>
      </c>
    </row>
    <row r="710" spans="1:7" ht="37.5" x14ac:dyDescent="0.4">
      <c r="A710" s="2">
        <v>709</v>
      </c>
      <c r="B710" s="2" t="s">
        <v>357</v>
      </c>
      <c r="C710" s="2" t="str">
        <f>"985-0874"</f>
        <v>985-0874</v>
      </c>
      <c r="D710" s="2" t="str">
        <f>"多賀城市八幡　２－１６－４１"</f>
        <v>多賀城市八幡　２－１６－４１</v>
      </c>
      <c r="E710" s="2" t="str">
        <f>"022-366-7439  "</f>
        <v xml:space="preserve">022-366-7439  </v>
      </c>
      <c r="F710" s="2" t="s">
        <v>6</v>
      </c>
      <c r="G710" s="2" t="s">
        <v>48</v>
      </c>
    </row>
    <row r="711" spans="1:7" ht="37.5" x14ac:dyDescent="0.4">
      <c r="A711" s="2">
        <v>710</v>
      </c>
      <c r="B711" s="2" t="s">
        <v>358</v>
      </c>
      <c r="C711" s="2" t="str">
        <f>"985-0874"</f>
        <v>985-0874</v>
      </c>
      <c r="D711" s="2" t="s">
        <v>359</v>
      </c>
      <c r="E711" s="2" t="str">
        <f>"022-366-7337  "</f>
        <v xml:space="preserve">022-366-7337  </v>
      </c>
      <c r="F711" s="2" t="s">
        <v>6</v>
      </c>
      <c r="G711" s="2" t="s">
        <v>34</v>
      </c>
    </row>
    <row r="712" spans="1:7" ht="37.5" x14ac:dyDescent="0.4">
      <c r="A712" s="2">
        <v>711</v>
      </c>
      <c r="B712" s="2" t="s">
        <v>366</v>
      </c>
      <c r="C712" s="2" t="str">
        <f>"985-0874"</f>
        <v>985-0874</v>
      </c>
      <c r="D712" s="2" t="str">
        <f>"多賀城市八幡　４ー３ー８－１Ｆ"</f>
        <v>多賀城市八幡　４ー３ー８－１Ｆ</v>
      </c>
      <c r="E712" s="2" t="str">
        <f>"022-366-4387  "</f>
        <v xml:space="preserve">022-366-4387  </v>
      </c>
      <c r="F712" s="2" t="s">
        <v>6</v>
      </c>
      <c r="G712" s="2" t="s">
        <v>182</v>
      </c>
    </row>
    <row r="713" spans="1:7" x14ac:dyDescent="0.4">
      <c r="A713" s="2">
        <v>712</v>
      </c>
      <c r="B713" s="2" t="s">
        <v>367</v>
      </c>
      <c r="C713" s="2" t="str">
        <f>"985-0874"</f>
        <v>985-0874</v>
      </c>
      <c r="D713" s="2" t="s">
        <v>368</v>
      </c>
      <c r="E713" s="2" t="str">
        <f>"022-364-1312  "</f>
        <v xml:space="preserve">022-364-1312  </v>
      </c>
      <c r="F713" s="2" t="s">
        <v>6</v>
      </c>
      <c r="G713" s="2" t="s">
        <v>369</v>
      </c>
    </row>
    <row r="714" spans="1:7" ht="37.5" x14ac:dyDescent="0.4">
      <c r="A714" s="2">
        <v>713</v>
      </c>
      <c r="B714" s="2" t="s">
        <v>1338</v>
      </c>
      <c r="C714" s="2" t="str">
        <f>"985-0874"</f>
        <v>985-0874</v>
      </c>
      <c r="D714" s="2" t="str">
        <f>"多賀城市八幡三丁目１０－３４"</f>
        <v>多賀城市八幡三丁目１０－３４</v>
      </c>
      <c r="E714" s="2" t="str">
        <f>"022-362-9482  "</f>
        <v xml:space="preserve">022-362-9482  </v>
      </c>
      <c r="F714" s="2" t="s">
        <v>9</v>
      </c>
      <c r="G714" s="2" t="s">
        <v>1063</v>
      </c>
    </row>
    <row r="715" spans="1:7" ht="37.5" x14ac:dyDescent="0.4">
      <c r="A715" s="2">
        <v>714</v>
      </c>
      <c r="B715" s="2" t="s">
        <v>972</v>
      </c>
      <c r="C715" s="2" t="str">
        <f>"985-0861"</f>
        <v>985-0861</v>
      </c>
      <c r="D715" s="2" t="str">
        <f>"多賀城市浮島　１－１２－１０"</f>
        <v>多賀城市浮島　１－１２－１０</v>
      </c>
      <c r="E715" s="2" t="str">
        <f>"022-368-2201  "</f>
        <v xml:space="preserve">022-368-2201  </v>
      </c>
      <c r="F715" s="2" t="s">
        <v>6</v>
      </c>
      <c r="G715" s="2" t="s">
        <v>10</v>
      </c>
    </row>
    <row r="716" spans="1:7" ht="37.5" x14ac:dyDescent="0.4">
      <c r="A716" s="2">
        <v>715</v>
      </c>
      <c r="B716" s="2" t="s">
        <v>975</v>
      </c>
      <c r="C716" s="2" t="str">
        <f>"985-0843"</f>
        <v>985-0843</v>
      </c>
      <c r="D716" s="2" t="str">
        <f>"多賀城市明月　１－４－１２"</f>
        <v>多賀城市明月　１－４－１２</v>
      </c>
      <c r="E716" s="2" t="str">
        <f>"022-366-8461  "</f>
        <v xml:space="preserve">022-366-8461  </v>
      </c>
      <c r="F716" s="2" t="s">
        <v>6</v>
      </c>
      <c r="G716" s="2" t="s">
        <v>10</v>
      </c>
    </row>
    <row r="717" spans="1:7" ht="37.5" x14ac:dyDescent="0.4">
      <c r="A717" s="2">
        <v>716</v>
      </c>
      <c r="B717" s="2" t="s">
        <v>573</v>
      </c>
      <c r="C717" s="2" t="str">
        <f>"989-6434"</f>
        <v>989-6434</v>
      </c>
      <c r="D717" s="2" t="str">
        <f>"大崎市岩出山下川原町８４－２９"</f>
        <v>大崎市岩出山下川原町８４－２９</v>
      </c>
      <c r="E717" s="2" t="str">
        <f>"0229-72-1355  "</f>
        <v xml:space="preserve">0229-72-1355  </v>
      </c>
      <c r="F717" s="2" t="s">
        <v>6</v>
      </c>
      <c r="G717" s="2" t="s">
        <v>574</v>
      </c>
    </row>
    <row r="718" spans="1:7" ht="37.5" x14ac:dyDescent="0.4">
      <c r="A718" s="2">
        <v>717</v>
      </c>
      <c r="B718" s="2" t="s">
        <v>1554</v>
      </c>
      <c r="C718" s="2" t="str">
        <f>"989-6434"</f>
        <v>989-6434</v>
      </c>
      <c r="D718" s="2" t="str">
        <f>"大崎市岩出山字下川原町106-5"</f>
        <v>大崎市岩出山字下川原町106-5</v>
      </c>
      <c r="E718" s="2" t="str">
        <f>"0229-72-4970  "</f>
        <v xml:space="preserve">0229-72-4970  </v>
      </c>
      <c r="F718" s="2" t="s">
        <v>9</v>
      </c>
      <c r="G718" s="2" t="s">
        <v>1129</v>
      </c>
    </row>
    <row r="719" spans="1:7" ht="37.5" x14ac:dyDescent="0.4">
      <c r="A719" s="2">
        <v>718</v>
      </c>
      <c r="B719" s="2" t="s">
        <v>1510</v>
      </c>
      <c r="C719" s="2" t="str">
        <f>"989-6434"</f>
        <v>989-6434</v>
      </c>
      <c r="D719" s="2" t="s">
        <v>1511</v>
      </c>
      <c r="E719" s="2" t="str">
        <f>"0229-72-0045  "</f>
        <v xml:space="preserve">0229-72-0045  </v>
      </c>
      <c r="F719" s="2" t="s">
        <v>9</v>
      </c>
      <c r="G719" s="2" t="s">
        <v>1063</v>
      </c>
    </row>
    <row r="720" spans="1:7" ht="37.5" x14ac:dyDescent="0.4">
      <c r="A720" s="2">
        <v>719</v>
      </c>
      <c r="B720" s="2" t="s">
        <v>1535</v>
      </c>
      <c r="C720" s="2" t="str">
        <f>"989-6434"</f>
        <v>989-6434</v>
      </c>
      <c r="D720" s="2" t="s">
        <v>1536</v>
      </c>
      <c r="E720" s="2" t="str">
        <f>"022-973-1335  "</f>
        <v xml:space="preserve">022-973-1335  </v>
      </c>
      <c r="F720" s="2" t="s">
        <v>9</v>
      </c>
      <c r="G720" s="2" t="s">
        <v>1063</v>
      </c>
    </row>
    <row r="721" spans="1:7" ht="37.5" x14ac:dyDescent="0.4">
      <c r="A721" s="2">
        <v>720</v>
      </c>
      <c r="B721" s="2" t="s">
        <v>622</v>
      </c>
      <c r="C721" s="2" t="str">
        <f>"989-6433"</f>
        <v>989-6433</v>
      </c>
      <c r="D721" s="2" t="str">
        <f>"大崎市岩出山字上川原町２４－３"</f>
        <v>大崎市岩出山字上川原町２４－３</v>
      </c>
      <c r="E721" s="2" t="str">
        <f>"0229-72-1005  "</f>
        <v xml:space="preserve">0229-72-1005  </v>
      </c>
      <c r="F721" s="2" t="s">
        <v>6</v>
      </c>
      <c r="G721" s="2" t="s">
        <v>8</v>
      </c>
    </row>
    <row r="722" spans="1:7" ht="37.5" x14ac:dyDescent="0.4">
      <c r="A722" s="2">
        <v>721</v>
      </c>
      <c r="B722" s="2" t="s">
        <v>944</v>
      </c>
      <c r="C722" s="2" t="str">
        <f>"989-6436"</f>
        <v>989-6436</v>
      </c>
      <c r="D722" s="2" t="s">
        <v>1014</v>
      </c>
      <c r="E722" s="2" t="str">
        <f>"0229-72-4321  "</f>
        <v xml:space="preserve">0229-72-4321  </v>
      </c>
      <c r="F722" s="2" t="s">
        <v>6</v>
      </c>
      <c r="G722" s="2" t="s">
        <v>10</v>
      </c>
    </row>
    <row r="723" spans="1:7" ht="37.5" x14ac:dyDescent="0.4">
      <c r="A723" s="2">
        <v>722</v>
      </c>
      <c r="B723" s="2" t="s">
        <v>1547</v>
      </c>
      <c r="C723" s="2" t="str">
        <f>"989-6436"</f>
        <v>989-6436</v>
      </c>
      <c r="D723" s="2" t="s">
        <v>1548</v>
      </c>
      <c r="E723" s="2" t="str">
        <f>"0229-72-0104  "</f>
        <v xml:space="preserve">0229-72-0104  </v>
      </c>
      <c r="F723" s="2" t="s">
        <v>9</v>
      </c>
      <c r="G723" s="2" t="s">
        <v>1063</v>
      </c>
    </row>
    <row r="724" spans="1:7" ht="37.5" x14ac:dyDescent="0.4">
      <c r="A724" s="2">
        <v>723</v>
      </c>
      <c r="B724" s="2" t="s">
        <v>1012</v>
      </c>
      <c r="C724" s="2" t="str">
        <f>"989-6436"</f>
        <v>989-6436</v>
      </c>
      <c r="D724" s="2" t="s">
        <v>1013</v>
      </c>
      <c r="E724" s="2" t="str">
        <f>"0229-72-4180  "</f>
        <v xml:space="preserve">0229-72-4180  </v>
      </c>
      <c r="F724" s="2" t="s">
        <v>6</v>
      </c>
      <c r="G724" s="2" t="s">
        <v>10</v>
      </c>
    </row>
    <row r="725" spans="1:7" ht="37.5" x14ac:dyDescent="0.4">
      <c r="A725" s="2">
        <v>724</v>
      </c>
      <c r="B725" s="2" t="s">
        <v>607</v>
      </c>
      <c r="C725" s="2" t="str">
        <f>"989-6117"</f>
        <v>989-6117</v>
      </c>
      <c r="D725" s="2" t="str">
        <f>"大崎市古川旭　２－３－３６"</f>
        <v>大崎市古川旭　２－３－３６</v>
      </c>
      <c r="E725" s="2" t="str">
        <f>"0229-24-8733  "</f>
        <v xml:space="preserve">0229-24-8733  </v>
      </c>
      <c r="F725" s="2" t="s">
        <v>6</v>
      </c>
      <c r="G725" s="2" t="s">
        <v>28</v>
      </c>
    </row>
    <row r="726" spans="1:7" ht="37.5" x14ac:dyDescent="0.4">
      <c r="A726" s="2">
        <v>725</v>
      </c>
      <c r="B726" s="2" t="s">
        <v>1499</v>
      </c>
      <c r="C726" s="2" t="str">
        <f>"989-6117"</f>
        <v>989-6117</v>
      </c>
      <c r="D726" s="2" t="str">
        <f>"大崎市古川旭　２－４－５"</f>
        <v>大崎市古川旭　２－４－５</v>
      </c>
      <c r="E726" s="2" t="str">
        <f>"0229-24-8060  "</f>
        <v xml:space="preserve">0229-24-8060  </v>
      </c>
      <c r="F726" s="2" t="s">
        <v>9</v>
      </c>
      <c r="G726" s="2" t="s">
        <v>1063</v>
      </c>
    </row>
    <row r="727" spans="1:7" ht="56.25" x14ac:dyDescent="0.4">
      <c r="A727" s="2">
        <v>726</v>
      </c>
      <c r="B727" s="2" t="s">
        <v>587</v>
      </c>
      <c r="C727" s="2" t="str">
        <f>"989-6117"</f>
        <v>989-6117</v>
      </c>
      <c r="D727" s="2" t="str">
        <f>"大崎市古川旭　２－５－１"</f>
        <v>大崎市古川旭　２－５－１</v>
      </c>
      <c r="E727" s="2" t="str">
        <f>"0229-22-0063  "</f>
        <v xml:space="preserve">0229-22-0063  </v>
      </c>
      <c r="F727" s="2" t="s">
        <v>6</v>
      </c>
      <c r="G727" s="2" t="s">
        <v>588</v>
      </c>
    </row>
    <row r="728" spans="1:7" ht="37.5" x14ac:dyDescent="0.4">
      <c r="A728" s="2">
        <v>727</v>
      </c>
      <c r="B728" s="2" t="s">
        <v>1533</v>
      </c>
      <c r="C728" s="2" t="str">
        <f>"989-6117"</f>
        <v>989-6117</v>
      </c>
      <c r="D728" s="2" t="s">
        <v>1572</v>
      </c>
      <c r="E728" s="2" t="str">
        <f>"0229-91-0625  "</f>
        <v xml:space="preserve">0229-91-0625  </v>
      </c>
      <c r="F728" s="2" t="s">
        <v>9</v>
      </c>
      <c r="G728" s="2" t="s">
        <v>1063</v>
      </c>
    </row>
    <row r="729" spans="1:7" ht="37.5" x14ac:dyDescent="0.4">
      <c r="A729" s="2">
        <v>728</v>
      </c>
      <c r="B729" s="2" t="s">
        <v>1570</v>
      </c>
      <c r="C729" s="2" t="str">
        <f>"989-6135"</f>
        <v>989-6135</v>
      </c>
      <c r="D729" s="2" t="s">
        <v>1571</v>
      </c>
      <c r="E729" s="2" t="str">
        <f>"0229-25-8201  "</f>
        <v xml:space="preserve">0229-25-8201  </v>
      </c>
      <c r="F729" s="2" t="s">
        <v>9</v>
      </c>
      <c r="G729" s="2" t="s">
        <v>1063</v>
      </c>
    </row>
    <row r="730" spans="1:7" ht="37.5" x14ac:dyDescent="0.4">
      <c r="A730" s="2">
        <v>729</v>
      </c>
      <c r="B730" s="2" t="s">
        <v>657</v>
      </c>
      <c r="C730" s="2" t="str">
        <f>"989-6135"</f>
        <v>989-6135</v>
      </c>
      <c r="D730" s="2" t="s">
        <v>658</v>
      </c>
      <c r="E730" s="2" t="str">
        <f>"0229-25-8000  "</f>
        <v xml:space="preserve">0229-25-8000  </v>
      </c>
      <c r="F730" s="2" t="s">
        <v>6</v>
      </c>
      <c r="G730" s="2" t="s">
        <v>659</v>
      </c>
    </row>
    <row r="731" spans="1:7" ht="56.25" x14ac:dyDescent="0.4">
      <c r="A731" s="2">
        <v>730</v>
      </c>
      <c r="B731" s="2" t="s">
        <v>580</v>
      </c>
      <c r="C731" s="2" t="str">
        <f>"989-6173"</f>
        <v>989-6173</v>
      </c>
      <c r="D731" s="2" t="s">
        <v>581</v>
      </c>
      <c r="E731" s="2" t="str">
        <f>"0229-22-0016  "</f>
        <v xml:space="preserve">0229-22-0016  </v>
      </c>
      <c r="F731" s="2" t="s">
        <v>6</v>
      </c>
      <c r="G731" s="2" t="s">
        <v>582</v>
      </c>
    </row>
    <row r="732" spans="1:7" ht="37.5" x14ac:dyDescent="0.4">
      <c r="A732" s="2">
        <v>731</v>
      </c>
      <c r="B732" s="2" t="s">
        <v>1492</v>
      </c>
      <c r="C732" s="2" t="str">
        <f>"989-6162"</f>
        <v>989-6162</v>
      </c>
      <c r="D732" s="2" t="str">
        <f>"大崎市古川駅前大通　１－３－３６"</f>
        <v>大崎市古川駅前大通　１－３－３６</v>
      </c>
      <c r="E732" s="2" t="str">
        <f>"0229-24-8520  "</f>
        <v xml:space="preserve">0229-24-8520  </v>
      </c>
      <c r="F732" s="2" t="s">
        <v>9</v>
      </c>
      <c r="G732" s="2" t="s">
        <v>1063</v>
      </c>
    </row>
    <row r="733" spans="1:7" ht="37.5" x14ac:dyDescent="0.4">
      <c r="A733" s="2">
        <v>732</v>
      </c>
      <c r="B733" s="2" t="s">
        <v>1006</v>
      </c>
      <c r="C733" s="2" t="str">
        <f>"989-6162"</f>
        <v>989-6162</v>
      </c>
      <c r="D733" s="2" t="s">
        <v>1007</v>
      </c>
      <c r="E733" s="2" t="str">
        <f>"0229-24-3384  "</f>
        <v xml:space="preserve">0229-24-3384  </v>
      </c>
      <c r="F733" s="2" t="s">
        <v>6</v>
      </c>
      <c r="G733" s="2" t="s">
        <v>10</v>
      </c>
    </row>
    <row r="734" spans="1:7" ht="37.5" x14ac:dyDescent="0.4">
      <c r="A734" s="2">
        <v>733</v>
      </c>
      <c r="B734" s="2" t="s">
        <v>448</v>
      </c>
      <c r="C734" s="2" t="str">
        <f>"989-6162"</f>
        <v>989-6162</v>
      </c>
      <c r="D734" s="2" t="str">
        <f>"大崎市古川駅前大通　６－２－４４"</f>
        <v>大崎市古川駅前大通　６－２－４４</v>
      </c>
      <c r="E734" s="2" t="str">
        <f>"0229-22-3228  "</f>
        <v xml:space="preserve">0229-22-3228  </v>
      </c>
      <c r="F734" s="2" t="s">
        <v>6</v>
      </c>
      <c r="G734" s="2" t="s">
        <v>594</v>
      </c>
    </row>
    <row r="735" spans="1:7" ht="37.5" x14ac:dyDescent="0.4">
      <c r="A735" s="2">
        <v>734</v>
      </c>
      <c r="B735" s="2" t="s">
        <v>1506</v>
      </c>
      <c r="C735" s="2" t="str">
        <f>"989-6162"</f>
        <v>989-6162</v>
      </c>
      <c r="D735" s="2" t="str">
        <f>"大崎市古川駅前大通2-4-26"</f>
        <v>大崎市古川駅前大通2-4-26</v>
      </c>
      <c r="E735" s="2" t="str">
        <f>"0229-23-1480  "</f>
        <v xml:space="preserve">0229-23-1480  </v>
      </c>
      <c r="F735" s="2" t="s">
        <v>9</v>
      </c>
      <c r="G735" s="2" t="s">
        <v>1063</v>
      </c>
    </row>
    <row r="736" spans="1:7" ht="37.5" x14ac:dyDescent="0.4">
      <c r="A736" s="2">
        <v>735</v>
      </c>
      <c r="B736" s="2" t="s">
        <v>610</v>
      </c>
      <c r="C736" s="2" t="str">
        <f>"989-6162"</f>
        <v>989-6162</v>
      </c>
      <c r="D736" s="2" t="str">
        <f>"大崎市古川駅前大通５－１－１９"</f>
        <v>大崎市古川駅前大通５－１－１９</v>
      </c>
      <c r="E736" s="2" t="str">
        <f>"0229-22-1100  "</f>
        <v xml:space="preserve">0229-22-1100  </v>
      </c>
      <c r="F736" s="2" t="s">
        <v>6</v>
      </c>
      <c r="G736" s="2" t="s">
        <v>18</v>
      </c>
    </row>
    <row r="737" spans="1:7" ht="56.25" x14ac:dyDescent="0.4">
      <c r="A737" s="2">
        <v>736</v>
      </c>
      <c r="B737" s="2" t="s">
        <v>584</v>
      </c>
      <c r="C737" s="2" t="str">
        <f>"989-6115"</f>
        <v>989-6115</v>
      </c>
      <c r="D737" s="2" t="s">
        <v>585</v>
      </c>
      <c r="E737" s="2" t="str">
        <f>"0229-23-5521  "</f>
        <v xml:space="preserve">0229-23-5521  </v>
      </c>
      <c r="F737" s="2" t="s">
        <v>6</v>
      </c>
      <c r="G737" s="2" t="s">
        <v>586</v>
      </c>
    </row>
    <row r="738" spans="1:7" ht="37.5" x14ac:dyDescent="0.4">
      <c r="A738" s="2">
        <v>737</v>
      </c>
      <c r="B738" s="2" t="s">
        <v>665</v>
      </c>
      <c r="C738" s="2" t="str">
        <f>"989-6115"</f>
        <v>989-6115</v>
      </c>
      <c r="D738" s="2" t="str">
        <f>"大崎市古川駅東1-5-17"</f>
        <v>大崎市古川駅東1-5-17</v>
      </c>
      <c r="E738" s="2" t="str">
        <f>"0229-91-8981  "</f>
        <v xml:space="preserve">0229-91-8981  </v>
      </c>
      <c r="F738" s="2" t="s">
        <v>6</v>
      </c>
      <c r="G738" s="2" t="s">
        <v>489</v>
      </c>
    </row>
    <row r="739" spans="1:7" x14ac:dyDescent="0.4">
      <c r="A739" s="2">
        <v>738</v>
      </c>
      <c r="B739" s="2" t="s">
        <v>1550</v>
      </c>
      <c r="C739" s="2" t="str">
        <f>"989-6115"</f>
        <v>989-6115</v>
      </c>
      <c r="D739" s="2" t="str">
        <f>"大崎市古川駅東2-10-16"</f>
        <v>大崎市古川駅東2-10-16</v>
      </c>
      <c r="E739" s="2" t="str">
        <f>"0229-91-5250  "</f>
        <v xml:space="preserve">0229-91-5250  </v>
      </c>
      <c r="F739" s="2" t="s">
        <v>9</v>
      </c>
      <c r="G739" s="2" t="s">
        <v>1063</v>
      </c>
    </row>
    <row r="740" spans="1:7" ht="37.5" x14ac:dyDescent="0.4">
      <c r="A740" s="2">
        <v>739</v>
      </c>
      <c r="B740" s="2" t="s">
        <v>1833</v>
      </c>
      <c r="C740" s="2" t="str">
        <f>"989-6115"</f>
        <v>989-6115</v>
      </c>
      <c r="D740" s="2" t="str">
        <f>"大崎市古川駅東2-12-18"</f>
        <v>大崎市古川駅東2-12-18</v>
      </c>
      <c r="E740" s="2" t="str">
        <f>"0229-24-2997  "</f>
        <v xml:space="preserve">0229-24-2997  </v>
      </c>
      <c r="F740" s="2" t="s">
        <v>11</v>
      </c>
      <c r="G740" s="2" t="s">
        <v>1151</v>
      </c>
    </row>
    <row r="741" spans="1:7" x14ac:dyDescent="0.4">
      <c r="A741" s="2">
        <v>740</v>
      </c>
      <c r="B741" s="2" t="s">
        <v>1556</v>
      </c>
      <c r="C741" s="2" t="str">
        <f>"989-6115"</f>
        <v>989-6115</v>
      </c>
      <c r="D741" s="2" t="str">
        <f>"大崎市古川駅東2-12-25"</f>
        <v>大崎市古川駅東2-12-25</v>
      </c>
      <c r="E741" s="2" t="str">
        <f>"0229-22-7010  "</f>
        <v xml:space="preserve">0229-22-7010  </v>
      </c>
      <c r="F741" s="2" t="s">
        <v>9</v>
      </c>
      <c r="G741" s="2" t="s">
        <v>1063</v>
      </c>
    </row>
    <row r="742" spans="1:7" ht="37.5" x14ac:dyDescent="0.4">
      <c r="A742" s="2">
        <v>741</v>
      </c>
      <c r="B742" s="2" t="s">
        <v>1016</v>
      </c>
      <c r="C742" s="2" t="str">
        <f>"989-6115"</f>
        <v>989-6115</v>
      </c>
      <c r="D742" s="2" t="str">
        <f>"大崎市古川駅東２－８－７０"</f>
        <v>大崎市古川駅東２－８－７０</v>
      </c>
      <c r="E742" s="2" t="str">
        <f>"0229-22-8049  "</f>
        <v xml:space="preserve">0229-22-8049  </v>
      </c>
      <c r="F742" s="2" t="s">
        <v>10</v>
      </c>
      <c r="G742" s="2" t="s">
        <v>1017</v>
      </c>
    </row>
    <row r="743" spans="1:7" ht="37.5" x14ac:dyDescent="0.4">
      <c r="A743" s="2">
        <v>742</v>
      </c>
      <c r="B743" s="2" t="s">
        <v>1528</v>
      </c>
      <c r="C743" s="2" t="str">
        <f>"989-6115"</f>
        <v>989-6115</v>
      </c>
      <c r="D743" s="2" t="str">
        <f>"大崎市古川駅東３丁目４－２２"</f>
        <v>大崎市古川駅東３丁目４－２２</v>
      </c>
      <c r="E743" s="2" t="str">
        <f>"0229-25-9908  "</f>
        <v xml:space="preserve">0229-25-9908  </v>
      </c>
      <c r="F743" s="2" t="s">
        <v>9</v>
      </c>
      <c r="G743" s="2" t="s">
        <v>1063</v>
      </c>
    </row>
    <row r="744" spans="1:7" ht="37.5" x14ac:dyDescent="0.4">
      <c r="A744" s="2">
        <v>743</v>
      </c>
      <c r="B744" s="2" t="s">
        <v>643</v>
      </c>
      <c r="C744" s="2" t="str">
        <f>"989-6115"</f>
        <v>989-6115</v>
      </c>
      <c r="D744" s="2" t="str">
        <f>"大崎市古川駅東３丁目４－２４"</f>
        <v>大崎市古川駅東３丁目４－２４</v>
      </c>
      <c r="E744" s="2" t="str">
        <f>"0229-87-5820  "</f>
        <v xml:space="preserve">0229-87-5820  </v>
      </c>
      <c r="F744" s="2" t="s">
        <v>6</v>
      </c>
      <c r="G744" s="2" t="s">
        <v>18</v>
      </c>
    </row>
    <row r="745" spans="1:7" ht="37.5" x14ac:dyDescent="0.4">
      <c r="A745" s="2">
        <v>744</v>
      </c>
      <c r="B745" s="2" t="s">
        <v>653</v>
      </c>
      <c r="C745" s="2" t="str">
        <f>"989-6115"</f>
        <v>989-6115</v>
      </c>
      <c r="D745" s="2" t="s">
        <v>654</v>
      </c>
      <c r="E745" s="2" t="str">
        <f>"0229-25-9330  "</f>
        <v xml:space="preserve">0229-25-9330  </v>
      </c>
      <c r="F745" s="2" t="s">
        <v>6</v>
      </c>
      <c r="G745" s="2" t="s">
        <v>655</v>
      </c>
    </row>
    <row r="746" spans="1:7" ht="37.5" x14ac:dyDescent="0.4">
      <c r="A746" s="2">
        <v>745</v>
      </c>
      <c r="B746" s="2" t="s">
        <v>1568</v>
      </c>
      <c r="C746" s="2" t="str">
        <f>"989-6115"</f>
        <v>989-6115</v>
      </c>
      <c r="D746" s="2" t="s">
        <v>1569</v>
      </c>
      <c r="E746" s="2" t="str">
        <f>"0229-25-6876  "</f>
        <v xml:space="preserve">0229-25-6876  </v>
      </c>
      <c r="F746" s="2" t="s">
        <v>9</v>
      </c>
      <c r="G746" s="2" t="s">
        <v>1063</v>
      </c>
    </row>
    <row r="747" spans="1:7" ht="37.5" x14ac:dyDescent="0.4">
      <c r="A747" s="2">
        <v>746</v>
      </c>
      <c r="B747" s="2" t="s">
        <v>645</v>
      </c>
      <c r="C747" s="2" t="str">
        <f>"989-6161"</f>
        <v>989-6161</v>
      </c>
      <c r="D747" s="2" t="str">
        <f>"大崎市古川駅南１－８－１"</f>
        <v>大崎市古川駅南１－８－１</v>
      </c>
      <c r="E747" s="2" t="str">
        <f>"0229-91-8741  "</f>
        <v xml:space="preserve">0229-91-8741  </v>
      </c>
      <c r="F747" s="2" t="s">
        <v>6</v>
      </c>
      <c r="G747" s="2" t="s">
        <v>646</v>
      </c>
    </row>
    <row r="748" spans="1:7" x14ac:dyDescent="0.4">
      <c r="A748" s="2">
        <v>747</v>
      </c>
      <c r="B748" s="2" t="s">
        <v>1560</v>
      </c>
      <c r="C748" s="2" t="str">
        <f>"989-6161"</f>
        <v>989-6161</v>
      </c>
      <c r="D748" s="2" t="s">
        <v>1561</v>
      </c>
      <c r="E748" s="2" t="str">
        <f>"0229-21-0230  "</f>
        <v xml:space="preserve">0229-21-0230  </v>
      </c>
      <c r="F748" s="2" t="s">
        <v>9</v>
      </c>
      <c r="G748" s="2" t="s">
        <v>1129</v>
      </c>
    </row>
    <row r="749" spans="1:7" ht="37.5" x14ac:dyDescent="0.4">
      <c r="A749" s="2">
        <v>748</v>
      </c>
      <c r="B749" s="2" t="s">
        <v>1496</v>
      </c>
      <c r="C749" s="2" t="str">
        <f>"989-6161"</f>
        <v>989-6161</v>
      </c>
      <c r="D749" s="2" t="str">
        <f>"大崎市古川駅南３－３３－３"</f>
        <v>大崎市古川駅南３－３３－３</v>
      </c>
      <c r="E749" s="2" t="str">
        <f>"0229-24-8348  "</f>
        <v xml:space="preserve">0229-24-8348  </v>
      </c>
      <c r="F749" s="2" t="s">
        <v>9</v>
      </c>
      <c r="G749" s="2" t="s">
        <v>1063</v>
      </c>
    </row>
    <row r="750" spans="1:7" x14ac:dyDescent="0.4">
      <c r="A750" s="2">
        <v>749</v>
      </c>
      <c r="B750" s="2" t="s">
        <v>1555</v>
      </c>
      <c r="C750" s="2" t="str">
        <f>"989-6161"</f>
        <v>989-6161</v>
      </c>
      <c r="D750" s="2" t="str">
        <f>"大崎市古川駅南3-7"</f>
        <v>大崎市古川駅南3-7</v>
      </c>
      <c r="E750" s="2" t="str">
        <f>"0229-22-1662  "</f>
        <v xml:space="preserve">0229-22-1662  </v>
      </c>
      <c r="F750" s="2" t="s">
        <v>9</v>
      </c>
      <c r="G750" s="2" t="s">
        <v>1063</v>
      </c>
    </row>
    <row r="751" spans="1:7" ht="37.5" x14ac:dyDescent="0.4">
      <c r="A751" s="2">
        <v>750</v>
      </c>
      <c r="B751" s="2" t="s">
        <v>1844</v>
      </c>
      <c r="C751" s="2" t="str">
        <f>"989-6255"</f>
        <v>989-6255</v>
      </c>
      <c r="D751" s="2" t="s">
        <v>1845</v>
      </c>
      <c r="E751" s="2" t="str">
        <f>"0229-25-6644  "</f>
        <v xml:space="preserve">0229-25-6644  </v>
      </c>
      <c r="F751" s="2" t="s">
        <v>11</v>
      </c>
      <c r="G751" s="2" t="s">
        <v>1151</v>
      </c>
    </row>
    <row r="752" spans="1:7" ht="37.5" x14ac:dyDescent="0.4">
      <c r="A752" s="2">
        <v>751</v>
      </c>
      <c r="B752" s="2" t="s">
        <v>592</v>
      </c>
      <c r="C752" s="2" t="str">
        <f>"989-6106"</f>
        <v>989-6106</v>
      </c>
      <c r="D752" s="2" t="str">
        <f>"大崎市古川幸町１－７－２０"</f>
        <v>大崎市古川幸町１－７－２０</v>
      </c>
      <c r="E752" s="2" t="str">
        <f>"0229-23-8152  "</f>
        <v xml:space="preserve">0229-23-8152  </v>
      </c>
      <c r="F752" s="2" t="s">
        <v>6</v>
      </c>
      <c r="G752" s="2" t="s">
        <v>593</v>
      </c>
    </row>
    <row r="753" spans="1:7" ht="37.5" x14ac:dyDescent="0.4">
      <c r="A753" s="2">
        <v>752</v>
      </c>
      <c r="B753" s="2" t="s">
        <v>1562</v>
      </c>
      <c r="C753" s="2" t="str">
        <f>"989-6104"</f>
        <v>989-6104</v>
      </c>
      <c r="D753" s="2" t="str">
        <f>"大崎市古川江合錦町二丁目５－５"</f>
        <v>大崎市古川江合錦町二丁目５－５</v>
      </c>
      <c r="E753" s="2" t="str">
        <f>"0229-87-3508  "</f>
        <v xml:space="preserve">0229-87-3508  </v>
      </c>
      <c r="F753" s="2" t="s">
        <v>9</v>
      </c>
      <c r="G753" s="2" t="s">
        <v>1129</v>
      </c>
    </row>
    <row r="754" spans="1:7" ht="37.5" x14ac:dyDescent="0.4">
      <c r="A754" s="2">
        <v>753</v>
      </c>
      <c r="B754" s="2" t="s">
        <v>1837</v>
      </c>
      <c r="C754" s="2" t="str">
        <f>"989-6103"</f>
        <v>989-6103</v>
      </c>
      <c r="D754" s="2" t="s">
        <v>1838</v>
      </c>
      <c r="E754" s="2" t="str">
        <f>"0229-47-5159  "</f>
        <v xml:space="preserve">0229-47-5159  </v>
      </c>
      <c r="F754" s="2" t="s">
        <v>11</v>
      </c>
      <c r="G754" s="2" t="s">
        <v>1151</v>
      </c>
    </row>
    <row r="755" spans="1:7" ht="37.5" x14ac:dyDescent="0.4">
      <c r="A755" s="2">
        <v>754</v>
      </c>
      <c r="B755" s="2" t="s">
        <v>615</v>
      </c>
      <c r="C755" s="2" t="str">
        <f>"989-6154"</f>
        <v>989-6154</v>
      </c>
      <c r="D755" s="2" t="str">
        <f>"大崎市古川三日町１－３－２５"</f>
        <v>大崎市古川三日町１－３－２５</v>
      </c>
      <c r="E755" s="2" t="str">
        <f>"0229-91-1020  "</f>
        <v xml:space="preserve">0229-91-1020  </v>
      </c>
      <c r="F755" s="2" t="s">
        <v>6</v>
      </c>
      <c r="G755" s="2" t="s">
        <v>649</v>
      </c>
    </row>
    <row r="756" spans="1:7" ht="37.5" x14ac:dyDescent="0.4">
      <c r="A756" s="2">
        <v>755</v>
      </c>
      <c r="B756" s="2" t="s">
        <v>1558</v>
      </c>
      <c r="C756" s="2" t="str">
        <f>"989-6154"</f>
        <v>989-6154</v>
      </c>
      <c r="D756" s="2" t="s">
        <v>1559</v>
      </c>
      <c r="E756" s="2" t="str">
        <f>"0229-22-6361  "</f>
        <v xml:space="preserve">0229-22-6361  </v>
      </c>
      <c r="F756" s="2" t="s">
        <v>9</v>
      </c>
      <c r="G756" s="2" t="s">
        <v>1063</v>
      </c>
    </row>
    <row r="757" spans="1:7" ht="37.5" x14ac:dyDescent="0.4">
      <c r="A757" s="2">
        <v>756</v>
      </c>
      <c r="B757" s="2" t="s">
        <v>1527</v>
      </c>
      <c r="C757" s="2" t="str">
        <f>"989-6154"</f>
        <v>989-6154</v>
      </c>
      <c r="D757" s="2" t="str">
        <f>"大崎市古川三日町２－３－５０"</f>
        <v>大崎市古川三日町２－３－５０</v>
      </c>
      <c r="E757" s="2" t="str">
        <f>"0229-21-1577  "</f>
        <v xml:space="preserve">0229-21-1577  </v>
      </c>
      <c r="F757" s="2" t="s">
        <v>9</v>
      </c>
      <c r="G757" s="2" t="s">
        <v>1063</v>
      </c>
    </row>
    <row r="758" spans="1:7" ht="37.5" x14ac:dyDescent="0.4">
      <c r="A758" s="2">
        <v>757</v>
      </c>
      <c r="B758" s="2" t="s">
        <v>644</v>
      </c>
      <c r="C758" s="2" t="str">
        <f>"989-6154"</f>
        <v>989-6154</v>
      </c>
      <c r="D758" s="2" t="str">
        <f>"大崎市古川三日町2丁目1－2"</f>
        <v>大崎市古川三日町2丁目1－2</v>
      </c>
      <c r="E758" s="2" t="str">
        <f>"0229-24-2416  "</f>
        <v xml:space="preserve">0229-24-2416  </v>
      </c>
      <c r="F758" s="2" t="s">
        <v>6</v>
      </c>
      <c r="G758" s="2" t="s">
        <v>28</v>
      </c>
    </row>
    <row r="759" spans="1:7" ht="37.5" x14ac:dyDescent="0.4">
      <c r="A759" s="2">
        <v>758</v>
      </c>
      <c r="B759" s="2" t="s">
        <v>1836</v>
      </c>
      <c r="C759" s="2" t="str">
        <f>"989-6154"</f>
        <v>989-6154</v>
      </c>
      <c r="D759" s="2" t="str">
        <f>"大崎市古川三日町２丁目３－４３"</f>
        <v>大崎市古川三日町２丁目３－４３</v>
      </c>
      <c r="E759" s="2" t="str">
        <f>"0229-25-5074  "</f>
        <v xml:space="preserve">0229-25-5074  </v>
      </c>
      <c r="F759" s="2" t="s">
        <v>11</v>
      </c>
      <c r="G759" s="2" t="s">
        <v>1151</v>
      </c>
    </row>
    <row r="760" spans="1:7" ht="37.5" x14ac:dyDescent="0.4">
      <c r="A760" s="2">
        <v>759</v>
      </c>
      <c r="B760" s="2" t="s">
        <v>1020</v>
      </c>
      <c r="C760" s="2" t="str">
        <f>"989-6223"</f>
        <v>989-6223</v>
      </c>
      <c r="D760" s="2" t="str">
        <f>"大崎市古川字竹ノ内２４３－２"</f>
        <v>大崎市古川字竹ノ内２４３－２</v>
      </c>
      <c r="E760" s="2" t="str">
        <f>"0229-25-8217  "</f>
        <v xml:space="preserve">0229-25-8217  </v>
      </c>
      <c r="F760" s="2" t="s">
        <v>10</v>
      </c>
      <c r="G760" s="2" t="s">
        <v>910</v>
      </c>
    </row>
    <row r="761" spans="1:7" ht="37.5" x14ac:dyDescent="0.4">
      <c r="A761" s="2">
        <v>760</v>
      </c>
      <c r="B761" s="2" t="s">
        <v>631</v>
      </c>
      <c r="C761" s="2" t="str">
        <f>"989-6223"</f>
        <v>989-6223</v>
      </c>
      <c r="D761" s="2" t="s">
        <v>616</v>
      </c>
      <c r="E761" s="2" t="str">
        <f>"0229-21-8655  "</f>
        <v xml:space="preserve">0229-21-8655  </v>
      </c>
      <c r="F761" s="2" t="s">
        <v>6</v>
      </c>
      <c r="G761" s="2" t="s">
        <v>632</v>
      </c>
    </row>
    <row r="762" spans="1:7" x14ac:dyDescent="0.4">
      <c r="A762" s="2">
        <v>761</v>
      </c>
      <c r="B762" s="2" t="s">
        <v>1577</v>
      </c>
      <c r="C762" s="2" t="str">
        <f>"989-6223"</f>
        <v>989-6223</v>
      </c>
      <c r="D762" s="2" t="str">
        <f>"大崎市古川字本鹿島146-4"</f>
        <v>大崎市古川字本鹿島146-4</v>
      </c>
      <c r="E762" s="2" t="s">
        <v>7</v>
      </c>
      <c r="F762" s="2" t="s">
        <v>9</v>
      </c>
      <c r="G762" s="2"/>
    </row>
    <row r="763" spans="1:7" ht="37.5" x14ac:dyDescent="0.4">
      <c r="A763" s="2">
        <v>762</v>
      </c>
      <c r="B763" s="2" t="s">
        <v>1497</v>
      </c>
      <c r="C763" s="2" t="str">
        <f>"989-6153"</f>
        <v>989-6153</v>
      </c>
      <c r="D763" s="2" t="str">
        <f>"大崎市古川七日町５－１１"</f>
        <v>大崎市古川七日町５－１１</v>
      </c>
      <c r="E763" s="2" t="str">
        <f>"0229-24-8655  "</f>
        <v xml:space="preserve">0229-24-8655  </v>
      </c>
      <c r="F763" s="2" t="s">
        <v>9</v>
      </c>
      <c r="G763" s="2" t="s">
        <v>1129</v>
      </c>
    </row>
    <row r="764" spans="1:7" x14ac:dyDescent="0.4">
      <c r="A764" s="2">
        <v>763</v>
      </c>
      <c r="B764" s="2" t="s">
        <v>1574</v>
      </c>
      <c r="C764" s="2" t="str">
        <f>"989-6165"</f>
        <v>989-6165</v>
      </c>
      <c r="D764" s="2" t="str">
        <f>"大崎市古川十日町4-18"</f>
        <v>大崎市古川十日町4-18</v>
      </c>
      <c r="E764" s="2" t="str">
        <f>"0229-22-1760  "</f>
        <v xml:space="preserve">0229-22-1760  </v>
      </c>
      <c r="F764" s="2" t="s">
        <v>9</v>
      </c>
      <c r="G764" s="2" t="s">
        <v>1063</v>
      </c>
    </row>
    <row r="765" spans="1:7" ht="37.5" x14ac:dyDescent="0.4">
      <c r="A765" s="2">
        <v>764</v>
      </c>
      <c r="B765" s="2" t="s">
        <v>611</v>
      </c>
      <c r="C765" s="2" t="str">
        <f>"989-6151"</f>
        <v>989-6151</v>
      </c>
      <c r="D765" s="2" t="s">
        <v>612</v>
      </c>
      <c r="E765" s="2" t="str">
        <f>"0229-23-7529  "</f>
        <v xml:space="preserve">0229-23-7529  </v>
      </c>
      <c r="F765" s="2" t="s">
        <v>6</v>
      </c>
      <c r="G765" s="2" t="s">
        <v>122</v>
      </c>
    </row>
    <row r="766" spans="1:7" ht="37.5" x14ac:dyDescent="0.4">
      <c r="A766" s="2">
        <v>765</v>
      </c>
      <c r="B766" s="2" t="s">
        <v>1500</v>
      </c>
      <c r="C766" s="2" t="str">
        <f>"989-6151"</f>
        <v>989-6151</v>
      </c>
      <c r="D766" s="2" t="s">
        <v>1501</v>
      </c>
      <c r="E766" s="2" t="str">
        <f>"0229-21-1225  "</f>
        <v xml:space="preserve">0229-21-1225  </v>
      </c>
      <c r="F766" s="2" t="s">
        <v>9</v>
      </c>
      <c r="G766" s="2" t="s">
        <v>1063</v>
      </c>
    </row>
    <row r="767" spans="1:7" ht="37.5" x14ac:dyDescent="0.4">
      <c r="A767" s="2">
        <v>766</v>
      </c>
      <c r="B767" s="2" t="s">
        <v>1522</v>
      </c>
      <c r="C767" s="2" t="str">
        <f>"989-6226"</f>
        <v>989-6226</v>
      </c>
      <c r="D767" s="2" t="s">
        <v>1523</v>
      </c>
      <c r="E767" s="2" t="str">
        <f>"0229-87-3830  "</f>
        <v xml:space="preserve">0229-87-3830  </v>
      </c>
      <c r="F767" s="2" t="s">
        <v>9</v>
      </c>
      <c r="G767" s="2" t="s">
        <v>1063</v>
      </c>
    </row>
    <row r="768" spans="1:7" ht="37.5" x14ac:dyDescent="0.4">
      <c r="A768" s="2">
        <v>767</v>
      </c>
      <c r="B768" s="2" t="s">
        <v>639</v>
      </c>
      <c r="C768" s="2" t="str">
        <f>"989-6226"</f>
        <v>989-6226</v>
      </c>
      <c r="D768" s="2" t="s">
        <v>640</v>
      </c>
      <c r="E768" s="2" t="str">
        <f>"0229-36-1050  "</f>
        <v xml:space="preserve">0229-36-1050  </v>
      </c>
      <c r="F768" s="2" t="s">
        <v>6</v>
      </c>
      <c r="G768" s="2" t="s">
        <v>204</v>
      </c>
    </row>
    <row r="769" spans="1:7" ht="37.5" x14ac:dyDescent="0.4">
      <c r="A769" s="2">
        <v>768</v>
      </c>
      <c r="B769" s="2" t="s">
        <v>1524</v>
      </c>
      <c r="C769" s="2" t="str">
        <f>"989-6214"</f>
        <v>989-6214</v>
      </c>
      <c r="D769" s="2" t="str">
        <f>"大崎市古川新堀字東田３６－２"</f>
        <v>大崎市古川新堀字東田３６－２</v>
      </c>
      <c r="E769" s="2" t="str">
        <f>"0229-87-3340  "</f>
        <v xml:space="preserve">0229-87-3340  </v>
      </c>
      <c r="F769" s="2" t="s">
        <v>9</v>
      </c>
      <c r="G769" s="2" t="s">
        <v>1063</v>
      </c>
    </row>
    <row r="770" spans="1:7" ht="37.5" x14ac:dyDescent="0.4">
      <c r="A770" s="2">
        <v>769</v>
      </c>
      <c r="B770" s="2" t="s">
        <v>64</v>
      </c>
      <c r="C770" s="2" t="str">
        <f>"989-6175"</f>
        <v>989-6175</v>
      </c>
      <c r="D770" s="2" t="str">
        <f>"大崎市古川諏訪１－３－３７"</f>
        <v>大崎市古川諏訪１－３－３７</v>
      </c>
      <c r="E770" s="2" t="str">
        <f>"0229-22-2290  "</f>
        <v xml:space="preserve">0229-22-2290  </v>
      </c>
      <c r="F770" s="2" t="s">
        <v>6</v>
      </c>
      <c r="G770" s="2" t="s">
        <v>132</v>
      </c>
    </row>
    <row r="771" spans="1:7" ht="37.5" x14ac:dyDescent="0.4">
      <c r="A771" s="2">
        <v>770</v>
      </c>
      <c r="B771" s="2" t="s">
        <v>633</v>
      </c>
      <c r="C771" s="2" t="str">
        <f>"989-6175"</f>
        <v>989-6175</v>
      </c>
      <c r="D771" s="2" t="str">
        <f>"大崎市古川諏訪２－２－２８"</f>
        <v>大崎市古川諏訪２－２－２８</v>
      </c>
      <c r="E771" s="2" t="str">
        <f>"0229-24-1700  "</f>
        <v xml:space="preserve">0229-24-1700  </v>
      </c>
      <c r="F771" s="2" t="s">
        <v>6</v>
      </c>
      <c r="G771" s="2" t="s">
        <v>600</v>
      </c>
    </row>
    <row r="772" spans="1:7" x14ac:dyDescent="0.4">
      <c r="A772" s="2">
        <v>771</v>
      </c>
      <c r="B772" s="2" t="s">
        <v>1498</v>
      </c>
      <c r="C772" s="2" t="str">
        <f>"989-6175"</f>
        <v>989-6175</v>
      </c>
      <c r="D772" s="2" t="str">
        <f>"大崎市古川諏訪2-2-40"</f>
        <v>大崎市古川諏訪2-2-40</v>
      </c>
      <c r="E772" s="2" t="str">
        <f>"0229-91-8065  "</f>
        <v xml:space="preserve">0229-91-8065  </v>
      </c>
      <c r="F772" s="2" t="s">
        <v>9</v>
      </c>
      <c r="G772" s="2"/>
    </row>
    <row r="773" spans="1:7" ht="56.25" x14ac:dyDescent="0.4">
      <c r="A773" s="2">
        <v>772</v>
      </c>
      <c r="B773" s="2" t="s">
        <v>601</v>
      </c>
      <c r="C773" s="2" t="str">
        <f>"989-6156"</f>
        <v>989-6156</v>
      </c>
      <c r="D773" s="2" t="s">
        <v>602</v>
      </c>
      <c r="E773" s="2" t="str">
        <f>"0229-22-1190  "</f>
        <v xml:space="preserve">0229-22-1190  </v>
      </c>
      <c r="F773" s="2" t="s">
        <v>6</v>
      </c>
      <c r="G773" s="2" t="s">
        <v>603</v>
      </c>
    </row>
    <row r="774" spans="1:7" ht="37.5" x14ac:dyDescent="0.4">
      <c r="A774" s="2">
        <v>773</v>
      </c>
      <c r="B774" s="2" t="s">
        <v>1539</v>
      </c>
      <c r="C774" s="2" t="str">
        <f>"989-6156"</f>
        <v>989-6156</v>
      </c>
      <c r="D774" s="2" t="str">
        <f>"大崎市古川西館３－７－６"</f>
        <v>大崎市古川西館３－７－６</v>
      </c>
      <c r="E774" s="2" t="str">
        <f>"0229-25-5120  "</f>
        <v xml:space="preserve">0229-25-5120  </v>
      </c>
      <c r="F774" s="2" t="s">
        <v>9</v>
      </c>
      <c r="G774" s="2" t="s">
        <v>1063</v>
      </c>
    </row>
    <row r="775" spans="1:7" ht="37.5" x14ac:dyDescent="0.4">
      <c r="A775" s="2">
        <v>774</v>
      </c>
      <c r="B775" s="2" t="s">
        <v>647</v>
      </c>
      <c r="C775" s="2" t="str">
        <f>"989-6174"</f>
        <v>989-6174</v>
      </c>
      <c r="D775" s="2" t="s">
        <v>648</v>
      </c>
      <c r="E775" s="2" t="str">
        <f>"0229-25-3666  "</f>
        <v xml:space="preserve">0229-25-3666  </v>
      </c>
      <c r="F775" s="2" t="s">
        <v>6</v>
      </c>
      <c r="G775" s="2" t="s">
        <v>38</v>
      </c>
    </row>
    <row r="776" spans="1:7" ht="37.5" x14ac:dyDescent="0.4">
      <c r="A776" s="2">
        <v>775</v>
      </c>
      <c r="B776" s="2" t="s">
        <v>606</v>
      </c>
      <c r="C776" s="2" t="str">
        <f>"989-6163"</f>
        <v>989-6163</v>
      </c>
      <c r="D776" s="2" t="str">
        <f>"大崎市古川台町　４－３６"</f>
        <v>大崎市古川台町　４－３６</v>
      </c>
      <c r="E776" s="2" t="str">
        <f>"0229-22-6111  "</f>
        <v xml:space="preserve">0229-22-6111  </v>
      </c>
      <c r="F776" s="2" t="s">
        <v>6</v>
      </c>
      <c r="G776" s="2" t="s">
        <v>48</v>
      </c>
    </row>
    <row r="777" spans="1:7" x14ac:dyDescent="0.4">
      <c r="A777" s="2">
        <v>776</v>
      </c>
      <c r="B777" s="2" t="s">
        <v>1534</v>
      </c>
      <c r="C777" s="2" t="str">
        <f>"989-6163"</f>
        <v>989-6163</v>
      </c>
      <c r="D777" s="2" t="str">
        <f>"大崎市古川台町４－３５"</f>
        <v>大崎市古川台町４－３５</v>
      </c>
      <c r="E777" s="2" t="str">
        <f>"0229-87-4243  "</f>
        <v xml:space="preserve">0229-87-4243  </v>
      </c>
      <c r="F777" s="2" t="s">
        <v>9</v>
      </c>
      <c r="G777" s="2" t="s">
        <v>1063</v>
      </c>
    </row>
    <row r="778" spans="1:7" ht="37.5" x14ac:dyDescent="0.4">
      <c r="A778" s="2">
        <v>777</v>
      </c>
      <c r="B778" s="2" t="s">
        <v>1842</v>
      </c>
      <c r="C778" s="2" t="str">
        <f>"989-6163"</f>
        <v>989-6163</v>
      </c>
      <c r="D778" s="2" t="s">
        <v>1843</v>
      </c>
      <c r="E778" s="2" t="str">
        <f>"0229-25-6912  "</f>
        <v xml:space="preserve">0229-25-6912  </v>
      </c>
      <c r="F778" s="2" t="s">
        <v>11</v>
      </c>
      <c r="G778" s="2" t="s">
        <v>1151</v>
      </c>
    </row>
    <row r="779" spans="1:7" ht="37.5" x14ac:dyDescent="0.4">
      <c r="A779" s="2">
        <v>778</v>
      </c>
      <c r="B779" s="2" t="s">
        <v>589</v>
      </c>
      <c r="C779" s="2" t="str">
        <f>"989-6221"</f>
        <v>989-6221</v>
      </c>
      <c r="D779" s="2" t="str">
        <f>"大崎市古川大宮　５－４－１０"</f>
        <v>大崎市古川大宮　５－４－１０</v>
      </c>
      <c r="E779" s="2" t="str">
        <f>"0229-22-0777  "</f>
        <v xml:space="preserve">0229-22-0777  </v>
      </c>
      <c r="F779" s="2" t="s">
        <v>6</v>
      </c>
      <c r="G779" s="2" t="s">
        <v>590</v>
      </c>
    </row>
    <row r="780" spans="1:7" ht="37.5" x14ac:dyDescent="0.4">
      <c r="A780" s="2">
        <v>779</v>
      </c>
      <c r="B780" s="2" t="s">
        <v>599</v>
      </c>
      <c r="C780" s="2" t="str">
        <f>"989-6221"</f>
        <v>989-6221</v>
      </c>
      <c r="D780" s="2" t="str">
        <f>"大崎市古川大宮　８－９－１５"</f>
        <v>大崎市古川大宮　８－９－１５</v>
      </c>
      <c r="E780" s="2" t="str">
        <f>"0229-23-4456  "</f>
        <v xml:space="preserve">0229-23-4456  </v>
      </c>
      <c r="F780" s="2" t="s">
        <v>6</v>
      </c>
      <c r="G780" s="2" t="s">
        <v>600</v>
      </c>
    </row>
    <row r="781" spans="1:7" ht="37.5" x14ac:dyDescent="0.4">
      <c r="A781" s="2">
        <v>780</v>
      </c>
      <c r="B781" s="2" t="s">
        <v>1573</v>
      </c>
      <c r="C781" s="2" t="str">
        <f>"989-6221"</f>
        <v>989-6221</v>
      </c>
      <c r="D781" s="2" t="str">
        <f>"大崎市古川大宮１丁目２－６９"</f>
        <v>大崎市古川大宮１丁目２－６９</v>
      </c>
      <c r="E781" s="2" t="str">
        <f>"0229-22-5676  "</f>
        <v xml:space="preserve">0229-22-5676  </v>
      </c>
      <c r="F781" s="2" t="s">
        <v>9</v>
      </c>
      <c r="G781" s="2" t="s">
        <v>1063</v>
      </c>
    </row>
    <row r="782" spans="1:7" ht="37.5" x14ac:dyDescent="0.4">
      <c r="A782" s="2">
        <v>781</v>
      </c>
      <c r="B782" s="2" t="s">
        <v>662</v>
      </c>
      <c r="C782" s="2" t="str">
        <f>"989-6221"</f>
        <v>989-6221</v>
      </c>
      <c r="D782" s="2" t="s">
        <v>663</v>
      </c>
      <c r="E782" s="2" t="str">
        <f>"0229-22-1310  "</f>
        <v xml:space="preserve">0229-22-1310  </v>
      </c>
      <c r="F782" s="2" t="s">
        <v>6</v>
      </c>
      <c r="G782" s="2" t="s">
        <v>664</v>
      </c>
    </row>
    <row r="783" spans="1:7" x14ac:dyDescent="0.4">
      <c r="A783" s="2">
        <v>782</v>
      </c>
      <c r="B783" s="2" t="s">
        <v>1503</v>
      </c>
      <c r="C783" s="2" t="str">
        <f>"989-6221"</f>
        <v>989-6221</v>
      </c>
      <c r="D783" s="2" t="str">
        <f>"大崎市古川大宮5-1-24"</f>
        <v>大崎市古川大宮5-1-24</v>
      </c>
      <c r="E783" s="2" t="str">
        <f>"0229-22-9800  "</f>
        <v xml:space="preserve">0229-22-9800  </v>
      </c>
      <c r="F783" s="2" t="s">
        <v>9</v>
      </c>
      <c r="G783" s="2" t="s">
        <v>1063</v>
      </c>
    </row>
    <row r="784" spans="1:7" ht="37.5" x14ac:dyDescent="0.4">
      <c r="A784" s="2">
        <v>783</v>
      </c>
      <c r="B784" s="2" t="s">
        <v>613</v>
      </c>
      <c r="C784" s="2" t="str">
        <f>"989-6221"</f>
        <v>989-6221</v>
      </c>
      <c r="D784" s="2" t="str">
        <f>"大崎市古川大宮７－７－３３"</f>
        <v>大崎市古川大宮７－７－３３</v>
      </c>
      <c r="E784" s="2" t="str">
        <f>"0229-21-1666  "</f>
        <v xml:space="preserve">0229-21-1666  </v>
      </c>
      <c r="F784" s="2" t="s">
        <v>6</v>
      </c>
      <c r="G784" s="2" t="s">
        <v>18</v>
      </c>
    </row>
    <row r="785" spans="1:7" ht="37.5" x14ac:dyDescent="0.4">
      <c r="A785" s="2">
        <v>784</v>
      </c>
      <c r="B785" s="2" t="s">
        <v>1549</v>
      </c>
      <c r="C785" s="2" t="str">
        <f>"989-6221"</f>
        <v>989-6221</v>
      </c>
      <c r="D785" s="2" t="str">
        <f>"大崎市古川大宮７丁目７－２５"</f>
        <v>大崎市古川大宮７丁目７－２５</v>
      </c>
      <c r="E785" s="2" t="str">
        <f>"0229-24-5720  "</f>
        <v xml:space="preserve">0229-24-5720  </v>
      </c>
      <c r="F785" s="2" t="s">
        <v>9</v>
      </c>
      <c r="G785" s="2" t="s">
        <v>1063</v>
      </c>
    </row>
    <row r="786" spans="1:7" ht="37.5" x14ac:dyDescent="0.4">
      <c r="A786" s="2">
        <v>785</v>
      </c>
      <c r="B786" s="2" t="s">
        <v>1504</v>
      </c>
      <c r="C786" s="2" t="str">
        <f>"989-6221"</f>
        <v>989-6221</v>
      </c>
      <c r="D786" s="2" t="str">
        <f>"大崎市古川大宮８－９－１４"</f>
        <v>大崎市古川大宮８－９－１４</v>
      </c>
      <c r="E786" s="2" t="str">
        <f>"0229-24-9622  "</f>
        <v xml:space="preserve">0229-24-9622  </v>
      </c>
      <c r="F786" s="2" t="s">
        <v>9</v>
      </c>
      <c r="G786" s="2" t="s">
        <v>1063</v>
      </c>
    </row>
    <row r="787" spans="1:7" ht="37.5" x14ac:dyDescent="0.4">
      <c r="A787" s="2">
        <v>786</v>
      </c>
      <c r="B787" s="2" t="s">
        <v>1563</v>
      </c>
      <c r="C787" s="2" t="str">
        <f>"989-6221"</f>
        <v>989-6221</v>
      </c>
      <c r="D787" s="2" t="str">
        <f>"大崎市古川大宮三丁目８－１２"</f>
        <v>大崎市古川大宮三丁目８－１２</v>
      </c>
      <c r="E787" s="2" t="str">
        <f>"0229-25-3996  "</f>
        <v xml:space="preserve">0229-25-3996  </v>
      </c>
      <c r="F787" s="2" t="s">
        <v>9</v>
      </c>
      <c r="G787" s="2" t="s">
        <v>1129</v>
      </c>
    </row>
    <row r="788" spans="1:7" ht="56.25" x14ac:dyDescent="0.4">
      <c r="A788" s="2">
        <v>787</v>
      </c>
      <c r="B788" s="2" t="s">
        <v>1841</v>
      </c>
      <c r="C788" s="2" t="str">
        <f>"989-6114"</f>
        <v>989-6114</v>
      </c>
      <c r="D788" s="2" t="str">
        <f>"大崎市古川大幡字月蔵１９－１コーポあいやG棟１７号室"</f>
        <v>大崎市古川大幡字月蔵１９－１コーポあいやG棟１７号室</v>
      </c>
      <c r="E788" s="2" t="str">
        <f>"0229-25-4303  "</f>
        <v xml:space="preserve">0229-25-4303  </v>
      </c>
      <c r="F788" s="2" t="s">
        <v>11</v>
      </c>
      <c r="G788" s="2" t="s">
        <v>1151</v>
      </c>
    </row>
    <row r="789" spans="1:7" ht="37.5" x14ac:dyDescent="0.4">
      <c r="A789" s="2">
        <v>788</v>
      </c>
      <c r="B789" s="2" t="s">
        <v>1542</v>
      </c>
      <c r="C789" s="2" t="str">
        <f>"989-6842"</f>
        <v>989-6842</v>
      </c>
      <c r="D789" s="2" t="str">
        <f>"大崎市古川中島町１－１－２"</f>
        <v>大崎市古川中島町１－１－２</v>
      </c>
      <c r="E789" s="2" t="str">
        <f>"0229-25-5147  "</f>
        <v xml:space="preserve">0229-25-5147  </v>
      </c>
      <c r="F789" s="2" t="s">
        <v>9</v>
      </c>
      <c r="G789" s="2" t="s">
        <v>1063</v>
      </c>
    </row>
    <row r="790" spans="1:7" ht="37.5" x14ac:dyDescent="0.4">
      <c r="A790" s="2">
        <v>789</v>
      </c>
      <c r="B790" s="2" t="s">
        <v>608</v>
      </c>
      <c r="C790" s="2" t="str">
        <f>"989-6142"</f>
        <v>989-6142</v>
      </c>
      <c r="D790" s="2" t="str">
        <f>"大崎市古川中島町１－８"</f>
        <v>大崎市古川中島町１－８</v>
      </c>
      <c r="E790" s="2" t="str">
        <f>"0229-22-1608  "</f>
        <v xml:space="preserve">0229-22-1608  </v>
      </c>
      <c r="F790" s="2" t="s">
        <v>6</v>
      </c>
      <c r="G790" s="2" t="s">
        <v>609</v>
      </c>
    </row>
    <row r="791" spans="1:7" x14ac:dyDescent="0.4">
      <c r="A791" s="2">
        <v>790</v>
      </c>
      <c r="B791" s="2" t="s">
        <v>660</v>
      </c>
      <c r="C791" s="2" t="str">
        <f>"989-6142"</f>
        <v>989-6142</v>
      </c>
      <c r="D791" s="2" t="str">
        <f>"大崎市古川中島町2-39"</f>
        <v>大崎市古川中島町2-39</v>
      </c>
      <c r="E791" s="2" t="str">
        <f>"0229-21-0087  "</f>
        <v xml:space="preserve">0229-21-0087  </v>
      </c>
      <c r="F791" s="2" t="s">
        <v>6</v>
      </c>
      <c r="G791" s="2" t="s">
        <v>661</v>
      </c>
    </row>
    <row r="792" spans="1:7" x14ac:dyDescent="0.4">
      <c r="A792" s="2">
        <v>791</v>
      </c>
      <c r="B792" s="2" t="s">
        <v>1553</v>
      </c>
      <c r="C792" s="2" t="str">
        <f>"989-6142"</f>
        <v>989-6142</v>
      </c>
      <c r="D792" s="2" t="str">
        <f>"大崎市古川中島町８-４６"</f>
        <v>大崎市古川中島町８-４６</v>
      </c>
      <c r="E792" s="2" t="str">
        <f>"0229-25-7121  "</f>
        <v xml:space="preserve">0229-25-7121  </v>
      </c>
      <c r="F792" s="2" t="s">
        <v>9</v>
      </c>
      <c r="G792" s="2" t="s">
        <v>1129</v>
      </c>
    </row>
    <row r="793" spans="1:7" ht="37.5" x14ac:dyDescent="0.4">
      <c r="A793" s="2">
        <v>792</v>
      </c>
      <c r="B793" s="2" t="s">
        <v>583</v>
      </c>
      <c r="C793" s="2" t="str">
        <f>"989-6143"</f>
        <v>989-6143</v>
      </c>
      <c r="D793" s="2" t="str">
        <f>"大崎市古川中里　１－３－１８"</f>
        <v>大崎市古川中里　１－３－１８</v>
      </c>
      <c r="E793" s="2" t="str">
        <f>"0229-22-0207  "</f>
        <v xml:space="preserve">0229-22-0207  </v>
      </c>
      <c r="F793" s="2" t="s">
        <v>6</v>
      </c>
      <c r="G793" s="2" t="s">
        <v>61</v>
      </c>
    </row>
    <row r="794" spans="1:7" ht="37.5" x14ac:dyDescent="0.4">
      <c r="A794" s="2">
        <v>793</v>
      </c>
      <c r="B794" s="2" t="s">
        <v>595</v>
      </c>
      <c r="C794" s="2" t="str">
        <f>"989-6143"</f>
        <v>989-6143</v>
      </c>
      <c r="D794" s="2" t="s">
        <v>596</v>
      </c>
      <c r="E794" s="2" t="str">
        <f>"0229-23-0006  "</f>
        <v xml:space="preserve">0229-23-0006  </v>
      </c>
      <c r="F794" s="2" t="s">
        <v>6</v>
      </c>
      <c r="G794" s="2" t="s">
        <v>137</v>
      </c>
    </row>
    <row r="795" spans="1:7" ht="37.5" x14ac:dyDescent="0.4">
      <c r="A795" s="2">
        <v>794</v>
      </c>
      <c r="B795" s="2" t="s">
        <v>1575</v>
      </c>
      <c r="C795" s="2" t="str">
        <f>"989-6143"</f>
        <v>989-6143</v>
      </c>
      <c r="D795" s="2" t="str">
        <f>"大崎市古川中里２－１８３－８"</f>
        <v>大崎市古川中里２－１８３－８</v>
      </c>
      <c r="E795" s="2" t="str">
        <f>"0229-87-8601  "</f>
        <v xml:space="preserve">0229-87-8601  </v>
      </c>
      <c r="F795" s="2" t="s">
        <v>9</v>
      </c>
      <c r="G795" s="2" t="s">
        <v>1063</v>
      </c>
    </row>
    <row r="796" spans="1:7" ht="37.5" x14ac:dyDescent="0.4">
      <c r="A796" s="2">
        <v>795</v>
      </c>
      <c r="B796" s="2" t="s">
        <v>650</v>
      </c>
      <c r="C796" s="2" t="str">
        <f>"989-6143"</f>
        <v>989-6143</v>
      </c>
      <c r="D796" s="2" t="s">
        <v>651</v>
      </c>
      <c r="E796" s="2" t="str">
        <f>"0229-22-0791  "</f>
        <v xml:space="preserve">0229-22-0791  </v>
      </c>
      <c r="F796" s="2" t="s">
        <v>6</v>
      </c>
      <c r="G796" s="2" t="s">
        <v>652</v>
      </c>
    </row>
    <row r="797" spans="1:7" ht="37.5" x14ac:dyDescent="0.4">
      <c r="A797" s="2">
        <v>796</v>
      </c>
      <c r="B797" s="2" t="s">
        <v>1566</v>
      </c>
      <c r="C797" s="2" t="str">
        <f>"989-6143"</f>
        <v>989-6143</v>
      </c>
      <c r="D797" s="2" t="s">
        <v>1567</v>
      </c>
      <c r="E797" s="2" t="str">
        <f>"0229-21-7227  "</f>
        <v xml:space="preserve">0229-21-7227  </v>
      </c>
      <c r="F797" s="2" t="s">
        <v>9</v>
      </c>
      <c r="G797" s="2" t="s">
        <v>1063</v>
      </c>
    </row>
    <row r="798" spans="1:7" ht="37.5" x14ac:dyDescent="0.4">
      <c r="A798" s="2">
        <v>797</v>
      </c>
      <c r="B798" s="2" t="s">
        <v>597</v>
      </c>
      <c r="C798" s="2" t="str">
        <f>"989-6166"</f>
        <v>989-6166</v>
      </c>
      <c r="D798" s="2" t="s">
        <v>598</v>
      </c>
      <c r="E798" s="2" t="str">
        <f>"0229-23-9783  "</f>
        <v xml:space="preserve">0229-23-9783  </v>
      </c>
      <c r="F798" s="2" t="s">
        <v>6</v>
      </c>
      <c r="G798" s="2" t="s">
        <v>369</v>
      </c>
    </row>
    <row r="799" spans="1:7" ht="37.5" x14ac:dyDescent="0.4">
      <c r="A799" s="2">
        <v>798</v>
      </c>
      <c r="B799" s="2" t="s">
        <v>1564</v>
      </c>
      <c r="C799" s="2" t="str">
        <f>"989-6166"</f>
        <v>989-6166</v>
      </c>
      <c r="D799" s="2" t="s">
        <v>1565</v>
      </c>
      <c r="E799" s="2" t="str">
        <f>"0229-23-1523  "</f>
        <v xml:space="preserve">0229-23-1523  </v>
      </c>
      <c r="F799" s="2" t="s">
        <v>9</v>
      </c>
      <c r="G799" s="2" t="s">
        <v>1063</v>
      </c>
    </row>
    <row r="800" spans="1:7" ht="37.5" x14ac:dyDescent="0.4">
      <c r="A800" s="2">
        <v>799</v>
      </c>
      <c r="B800" s="2" t="s">
        <v>604</v>
      </c>
      <c r="C800" s="2" t="str">
        <f>"989-6155"</f>
        <v>989-6155</v>
      </c>
      <c r="D800" s="2" t="str">
        <f>"大崎市古川南町　３－１－３－５"</f>
        <v>大崎市古川南町　３－１－３－５</v>
      </c>
      <c r="E800" s="2" t="str">
        <f>"0229-23-8181  "</f>
        <v xml:space="preserve">0229-23-8181  </v>
      </c>
      <c r="F800" s="2" t="s">
        <v>6</v>
      </c>
      <c r="G800" s="2" t="s">
        <v>605</v>
      </c>
    </row>
    <row r="801" spans="1:7" ht="37.5" x14ac:dyDescent="0.4">
      <c r="A801" s="2">
        <v>800</v>
      </c>
      <c r="B801" s="2" t="s">
        <v>591</v>
      </c>
      <c r="C801" s="2" t="str">
        <f>"989-6155"</f>
        <v>989-6155</v>
      </c>
      <c r="D801" s="2" t="str">
        <f>"大崎市古川南町　３－６－３８"</f>
        <v>大崎市古川南町　３－６－３８</v>
      </c>
      <c r="E801" s="2" t="str">
        <f>"0229-23-5320  "</f>
        <v xml:space="preserve">0229-23-5320  </v>
      </c>
      <c r="F801" s="2" t="s">
        <v>6</v>
      </c>
      <c r="G801" s="2" t="s">
        <v>28</v>
      </c>
    </row>
    <row r="802" spans="1:7" ht="37.5" x14ac:dyDescent="0.4">
      <c r="A802" s="2">
        <v>801</v>
      </c>
      <c r="B802" s="2" t="s">
        <v>1008</v>
      </c>
      <c r="C802" s="2" t="str">
        <f>"989-6155"</f>
        <v>989-6155</v>
      </c>
      <c r="D802" s="2" t="s">
        <v>1009</v>
      </c>
      <c r="E802" s="2" t="str">
        <f>"0229-23-6622  "</f>
        <v xml:space="preserve">0229-23-6622  </v>
      </c>
      <c r="F802" s="2" t="s">
        <v>6</v>
      </c>
      <c r="G802" s="2" t="s">
        <v>10</v>
      </c>
    </row>
    <row r="803" spans="1:7" ht="37.5" x14ac:dyDescent="0.4">
      <c r="A803" s="2">
        <v>802</v>
      </c>
      <c r="B803" s="2" t="s">
        <v>1490</v>
      </c>
      <c r="C803" s="2" t="str">
        <f>"989-6155"</f>
        <v>989-6155</v>
      </c>
      <c r="D803" s="2" t="s">
        <v>1491</v>
      </c>
      <c r="E803" s="2" t="str">
        <f>"0229-21-7890  "</f>
        <v xml:space="preserve">0229-21-7890  </v>
      </c>
      <c r="F803" s="2" t="s">
        <v>9</v>
      </c>
      <c r="G803" s="2" t="s">
        <v>1063</v>
      </c>
    </row>
    <row r="804" spans="1:7" ht="37.5" x14ac:dyDescent="0.4">
      <c r="A804" s="2">
        <v>803</v>
      </c>
      <c r="B804" s="2" t="s">
        <v>1493</v>
      </c>
      <c r="C804" s="2" t="str">
        <f>"989-6155"</f>
        <v>989-6155</v>
      </c>
      <c r="D804" s="2" t="str">
        <f>"大崎市古川南町１丁目６－３６"</f>
        <v>大崎市古川南町１丁目６－３６</v>
      </c>
      <c r="E804" s="2" t="str">
        <f>"0229-24-7440  "</f>
        <v xml:space="preserve">0229-24-7440  </v>
      </c>
      <c r="F804" s="2" t="s">
        <v>9</v>
      </c>
      <c r="G804" s="2" t="s">
        <v>1063</v>
      </c>
    </row>
    <row r="805" spans="1:7" ht="37.5" x14ac:dyDescent="0.4">
      <c r="A805" s="2">
        <v>804</v>
      </c>
      <c r="B805" s="2" t="s">
        <v>1018</v>
      </c>
      <c r="C805" s="2" t="str">
        <f>"989-6155"</f>
        <v>989-6155</v>
      </c>
      <c r="D805" s="2" t="s">
        <v>1019</v>
      </c>
      <c r="E805" s="2" t="str">
        <f>"0229-24-5101  "</f>
        <v xml:space="preserve">0229-24-5101  </v>
      </c>
      <c r="F805" s="2" t="s">
        <v>6</v>
      </c>
      <c r="G805" s="2" t="s">
        <v>10</v>
      </c>
    </row>
    <row r="806" spans="1:7" ht="37.5" x14ac:dyDescent="0.4">
      <c r="A806" s="2">
        <v>805</v>
      </c>
      <c r="B806" s="2" t="s">
        <v>1271</v>
      </c>
      <c r="C806" s="2" t="str">
        <f>"989-6155"</f>
        <v>989-6155</v>
      </c>
      <c r="D806" s="2" t="s">
        <v>1557</v>
      </c>
      <c r="E806" s="2" t="str">
        <f>"0229-23-6170  "</f>
        <v xml:space="preserve">0229-23-6170  </v>
      </c>
      <c r="F806" s="2" t="s">
        <v>9</v>
      </c>
      <c r="G806" s="2" t="s">
        <v>1129</v>
      </c>
    </row>
    <row r="807" spans="1:7" ht="37.5" x14ac:dyDescent="0.4">
      <c r="A807" s="2">
        <v>806</v>
      </c>
      <c r="B807" s="2" t="s">
        <v>1003</v>
      </c>
      <c r="C807" s="2" t="str">
        <f>"989-6152"</f>
        <v>989-6152</v>
      </c>
      <c r="D807" s="2" t="str">
        <f>"大崎市古川二ノ構　６－３"</f>
        <v>大崎市古川二ノ構　６－３</v>
      </c>
      <c r="E807" s="2" t="str">
        <f>"0229-24-1155  "</f>
        <v xml:space="preserve">0229-24-1155  </v>
      </c>
      <c r="F807" s="2" t="s">
        <v>6</v>
      </c>
      <c r="G807" s="2" t="s">
        <v>933</v>
      </c>
    </row>
    <row r="808" spans="1:7" ht="37.5" x14ac:dyDescent="0.4">
      <c r="A808" s="2">
        <v>807</v>
      </c>
      <c r="B808" s="2" t="s">
        <v>1494</v>
      </c>
      <c r="C808" s="2" t="str">
        <f>"989-6136"</f>
        <v>989-6136</v>
      </c>
      <c r="D808" s="2" t="str">
        <f>"大崎市古川穂波２－１７－３７"</f>
        <v>大崎市古川穂波２－１７－３７</v>
      </c>
      <c r="E808" s="2" t="str">
        <f>"0229-21-1545  "</f>
        <v xml:space="preserve">0229-21-1545  </v>
      </c>
      <c r="F808" s="2" t="s">
        <v>9</v>
      </c>
      <c r="G808" s="2" t="s">
        <v>1063</v>
      </c>
    </row>
    <row r="809" spans="1:7" ht="37.5" x14ac:dyDescent="0.4">
      <c r="A809" s="2">
        <v>808</v>
      </c>
      <c r="B809" s="2" t="s">
        <v>1538</v>
      </c>
      <c r="C809" s="2" t="str">
        <f>"989-6136"</f>
        <v>989-6136</v>
      </c>
      <c r="D809" s="2" t="str">
        <f>"大崎市古川穂波２－８－１４"</f>
        <v>大崎市古川穂波２－８－１４</v>
      </c>
      <c r="E809" s="2" t="str">
        <f>"0229-24-3850  "</f>
        <v xml:space="preserve">0229-24-3850  </v>
      </c>
      <c r="F809" s="2" t="s">
        <v>9</v>
      </c>
      <c r="G809" s="2" t="s">
        <v>1063</v>
      </c>
    </row>
    <row r="810" spans="1:7" ht="206.25" x14ac:dyDescent="0.4">
      <c r="A810" s="2">
        <v>809</v>
      </c>
      <c r="B810" s="2" t="s">
        <v>569</v>
      </c>
      <c r="C810" s="2" t="str">
        <f>"989-6183"</f>
        <v>989-6183</v>
      </c>
      <c r="D810" s="2" t="str">
        <f>"大崎市古川穂波３－８－１"</f>
        <v>大崎市古川穂波３－８－１</v>
      </c>
      <c r="E810" s="2" t="str">
        <f>"0229-23-3311  "</f>
        <v xml:space="preserve">0229-23-3311  </v>
      </c>
      <c r="F810" s="2" t="s">
        <v>6</v>
      </c>
      <c r="G810" s="2" t="s">
        <v>570</v>
      </c>
    </row>
    <row r="811" spans="1:7" ht="37.5" x14ac:dyDescent="0.4">
      <c r="A811" s="2">
        <v>810</v>
      </c>
      <c r="B811" s="2" t="s">
        <v>1315</v>
      </c>
      <c r="C811" s="2" t="str">
        <f>"989-6136"</f>
        <v>989-6136</v>
      </c>
      <c r="D811" s="2" t="str">
        <f>"大崎市古川穂波４丁目２１－１４"</f>
        <v>大崎市古川穂波４丁目２１－１４</v>
      </c>
      <c r="E811" s="2" t="str">
        <f>"0229-25-5906  "</f>
        <v xml:space="preserve">0229-25-5906  </v>
      </c>
      <c r="F811" s="2" t="s">
        <v>9</v>
      </c>
      <c r="G811" s="2" t="s">
        <v>1063</v>
      </c>
    </row>
    <row r="812" spans="1:7" ht="37.5" x14ac:dyDescent="0.4">
      <c r="A812" s="2">
        <v>811</v>
      </c>
      <c r="B812" s="2" t="s">
        <v>1540</v>
      </c>
      <c r="C812" s="2" t="str">
        <f>"989-6136"</f>
        <v>989-6136</v>
      </c>
      <c r="D812" s="2" t="str">
        <f>"大崎市古川穂波６－２－２３"</f>
        <v>大崎市古川穂波６－２－２３</v>
      </c>
      <c r="E812" s="2" t="str">
        <f>"0229-25-6761  "</f>
        <v xml:space="preserve">0229-25-6761  </v>
      </c>
      <c r="F812" s="2" t="s">
        <v>9</v>
      </c>
      <c r="G812" s="2" t="s">
        <v>1063</v>
      </c>
    </row>
    <row r="813" spans="1:7" ht="37.5" x14ac:dyDescent="0.4">
      <c r="A813" s="2">
        <v>812</v>
      </c>
      <c r="B813" s="2" t="s">
        <v>1505</v>
      </c>
      <c r="C813" s="2" t="str">
        <f>"989-6136"</f>
        <v>989-6136</v>
      </c>
      <c r="D813" s="2" t="str">
        <f>"大崎市古川穂波６丁目１－１０"</f>
        <v>大崎市古川穂波６丁目１－１０</v>
      </c>
      <c r="E813" s="2" t="str">
        <f>"0229-91-9061  "</f>
        <v xml:space="preserve">0229-91-9061  </v>
      </c>
      <c r="F813" s="2" t="s">
        <v>9</v>
      </c>
      <c r="G813" s="2" t="s">
        <v>1063</v>
      </c>
    </row>
    <row r="814" spans="1:7" ht="37.5" x14ac:dyDescent="0.4">
      <c r="A814" s="2">
        <v>813</v>
      </c>
      <c r="B814" s="2" t="s">
        <v>1495</v>
      </c>
      <c r="C814" s="2" t="str">
        <f>"989-6136"</f>
        <v>989-6136</v>
      </c>
      <c r="D814" s="2" t="str">
        <f>"大崎市古川穂波6丁目1番3-2号"</f>
        <v>大崎市古川穂波6丁目1番3-2号</v>
      </c>
      <c r="E814" s="2" t="str">
        <f>"0229-87-3728  "</f>
        <v xml:space="preserve">0229-87-3728  </v>
      </c>
      <c r="F814" s="2" t="s">
        <v>9</v>
      </c>
      <c r="G814" s="2" t="s">
        <v>1063</v>
      </c>
    </row>
    <row r="815" spans="1:7" ht="37.5" x14ac:dyDescent="0.4">
      <c r="A815" s="2">
        <v>814</v>
      </c>
      <c r="B815" s="2" t="s">
        <v>1518</v>
      </c>
      <c r="C815" s="2" t="str">
        <f>"989-6136"</f>
        <v>989-6136</v>
      </c>
      <c r="D815" s="2" t="str">
        <f>"大崎市古川穂波６丁目３０－４１"</f>
        <v>大崎市古川穂波６丁目３０－４１</v>
      </c>
      <c r="E815" s="2" t="str">
        <f>"0229-21-0501  "</f>
        <v xml:space="preserve">0229-21-0501  </v>
      </c>
      <c r="F815" s="2" t="s">
        <v>9</v>
      </c>
      <c r="G815" s="2" t="s">
        <v>1063</v>
      </c>
    </row>
    <row r="816" spans="1:7" ht="37.5" x14ac:dyDescent="0.4">
      <c r="A816" s="2">
        <v>815</v>
      </c>
      <c r="B816" s="2" t="s">
        <v>636</v>
      </c>
      <c r="C816" s="2" t="str">
        <f>"989-6136"</f>
        <v>989-6136</v>
      </c>
      <c r="D816" s="2" t="s">
        <v>637</v>
      </c>
      <c r="E816" s="2" t="str">
        <f>"0229-24-3880  "</f>
        <v xml:space="preserve">0229-24-3880  </v>
      </c>
      <c r="F816" s="2" t="s">
        <v>6</v>
      </c>
      <c r="G816" s="2" t="s">
        <v>306</v>
      </c>
    </row>
    <row r="817" spans="1:7" ht="37.5" x14ac:dyDescent="0.4">
      <c r="A817" s="2">
        <v>816</v>
      </c>
      <c r="B817" s="2" t="s">
        <v>1541</v>
      </c>
      <c r="C817" s="2" t="str">
        <f>"989-6136"</f>
        <v>989-6136</v>
      </c>
      <c r="D817" s="2" t="str">
        <f>"大崎市古川穂波７－２－１４"</f>
        <v>大崎市古川穂波７－２－１４</v>
      </c>
      <c r="E817" s="2" t="str">
        <f>"0229-91-5268  "</f>
        <v xml:space="preserve">0229-91-5268  </v>
      </c>
      <c r="F817" s="2" t="s">
        <v>9</v>
      </c>
      <c r="G817" s="2" t="s">
        <v>1063</v>
      </c>
    </row>
    <row r="818" spans="1:7" ht="37.5" x14ac:dyDescent="0.4">
      <c r="A818" s="2">
        <v>817</v>
      </c>
      <c r="B818" s="2" t="s">
        <v>1551</v>
      </c>
      <c r="C818" s="2" t="str">
        <f>"989-6136"</f>
        <v>989-6136</v>
      </c>
      <c r="D818" s="2" t="s">
        <v>1552</v>
      </c>
      <c r="E818" s="2" t="str">
        <f>"0229-21-1189  "</f>
        <v xml:space="preserve">0229-21-1189  </v>
      </c>
      <c r="F818" s="2" t="s">
        <v>9</v>
      </c>
      <c r="G818" s="2" t="s">
        <v>1063</v>
      </c>
    </row>
    <row r="819" spans="1:7" ht="37.5" x14ac:dyDescent="0.4">
      <c r="A819" s="2">
        <v>818</v>
      </c>
      <c r="B819" s="2" t="s">
        <v>1545</v>
      </c>
      <c r="C819" s="2" t="str">
        <f>"989-6136"</f>
        <v>989-6136</v>
      </c>
      <c r="D819" s="2" t="s">
        <v>1546</v>
      </c>
      <c r="E819" s="2" t="str">
        <f>"0229-91-8052  "</f>
        <v xml:space="preserve">0229-91-8052  </v>
      </c>
      <c r="F819" s="2" t="s">
        <v>9</v>
      </c>
      <c r="G819" s="2" t="s">
        <v>1063</v>
      </c>
    </row>
    <row r="820" spans="1:7" x14ac:dyDescent="0.4">
      <c r="A820" s="2">
        <v>819</v>
      </c>
      <c r="B820" s="2" t="s">
        <v>1521</v>
      </c>
      <c r="C820" s="2" t="str">
        <f>"989-6145"</f>
        <v>989-6145</v>
      </c>
      <c r="D820" s="2" t="str">
        <f>"大崎市古川北稲葉1-2-24"</f>
        <v>大崎市古川北稲葉1-2-24</v>
      </c>
      <c r="E820" s="2" t="str">
        <f>"0229-25-7180  "</f>
        <v xml:space="preserve">0229-25-7180  </v>
      </c>
      <c r="F820" s="2" t="s">
        <v>9</v>
      </c>
      <c r="G820" s="2" t="s">
        <v>1063</v>
      </c>
    </row>
    <row r="821" spans="1:7" ht="37.5" x14ac:dyDescent="0.4">
      <c r="A821" s="2">
        <v>820</v>
      </c>
      <c r="B821" s="2" t="s">
        <v>638</v>
      </c>
      <c r="C821" s="2" t="str">
        <f>"989-6145"</f>
        <v>989-6145</v>
      </c>
      <c r="D821" s="2" t="str">
        <f>"大崎市古川北稲葉１－２－２５"</f>
        <v>大崎市古川北稲葉１－２－２５</v>
      </c>
      <c r="E821" s="2" t="str">
        <f>"0229-21-9100  "</f>
        <v xml:space="preserve">0229-21-9100  </v>
      </c>
      <c r="F821" s="2" t="s">
        <v>6</v>
      </c>
      <c r="G821" s="2" t="s">
        <v>18</v>
      </c>
    </row>
    <row r="822" spans="1:7" ht="37.5" x14ac:dyDescent="0.4">
      <c r="A822" s="2">
        <v>821</v>
      </c>
      <c r="B822" s="2" t="s">
        <v>1847</v>
      </c>
      <c r="C822" s="2" t="str">
        <f>"989-6145"</f>
        <v>989-6145</v>
      </c>
      <c r="D822" s="2" t="str">
        <f>"大崎市古川北稲葉３－１３－３４"</f>
        <v>大崎市古川北稲葉３－１３－３４</v>
      </c>
      <c r="E822" s="2" t="str">
        <f>"0229-25-5564  "</f>
        <v xml:space="preserve">0229-25-5564  </v>
      </c>
      <c r="F822" s="2" t="s">
        <v>11</v>
      </c>
      <c r="G822" s="2" t="s">
        <v>1151</v>
      </c>
    </row>
    <row r="823" spans="1:7" ht="37.5" x14ac:dyDescent="0.4">
      <c r="A823" s="2">
        <v>822</v>
      </c>
      <c r="B823" s="2" t="s">
        <v>614</v>
      </c>
      <c r="C823" s="2" t="str">
        <f>"989-6171"</f>
        <v>989-6171</v>
      </c>
      <c r="D823" s="2" t="str">
        <f>"大崎市古川北町　２－５－１２"</f>
        <v>大崎市古川北町　２－５－１２</v>
      </c>
      <c r="E823" s="2" t="str">
        <f>"0229-22-1111  "</f>
        <v xml:space="preserve">0229-22-1111  </v>
      </c>
      <c r="F823" s="2" t="s">
        <v>6</v>
      </c>
      <c r="G823" s="2" t="s">
        <v>24</v>
      </c>
    </row>
    <row r="824" spans="1:7" ht="37.5" x14ac:dyDescent="0.4">
      <c r="A824" s="2">
        <v>823</v>
      </c>
      <c r="B824" s="2" t="s">
        <v>1004</v>
      </c>
      <c r="C824" s="2" t="str">
        <f>"989-6171"</f>
        <v>989-6171</v>
      </c>
      <c r="D824" s="2" t="str">
        <f>"大崎市古川北町　３－３－２１"</f>
        <v>大崎市古川北町　３－３－２１</v>
      </c>
      <c r="E824" s="2" t="str">
        <f>"0229-24-3636  "</f>
        <v xml:space="preserve">0229-24-3636  </v>
      </c>
      <c r="F824" s="2" t="s">
        <v>6</v>
      </c>
      <c r="G824" s="2" t="s">
        <v>10</v>
      </c>
    </row>
    <row r="825" spans="1:7" ht="37.5" x14ac:dyDescent="0.4">
      <c r="A825" s="2">
        <v>824</v>
      </c>
      <c r="B825" s="2" t="s">
        <v>1005</v>
      </c>
      <c r="C825" s="2" t="str">
        <f>"989-6171"</f>
        <v>989-6171</v>
      </c>
      <c r="D825" s="2" t="str">
        <f>"大崎市古川北町　５－３－１２"</f>
        <v>大崎市古川北町　５－３－１２</v>
      </c>
      <c r="E825" s="2" t="str">
        <f>"0229-23-3055  "</f>
        <v xml:space="preserve">0229-23-3055  </v>
      </c>
      <c r="F825" s="2" t="s">
        <v>6</v>
      </c>
      <c r="G825" s="2" t="s">
        <v>10</v>
      </c>
    </row>
    <row r="826" spans="1:7" ht="37.5" x14ac:dyDescent="0.4">
      <c r="A826" s="2">
        <v>825</v>
      </c>
      <c r="B826" s="2" t="s">
        <v>667</v>
      </c>
      <c r="C826" s="2" t="str">
        <f>"989-6171"</f>
        <v>989-6171</v>
      </c>
      <c r="D826" s="2" t="str">
        <f>"大崎市古川北町１－１－３"</f>
        <v>大崎市古川北町１－１－３</v>
      </c>
      <c r="E826" s="2" t="str">
        <f>"0229-25-5151  "</f>
        <v xml:space="preserve">0229-25-5151  </v>
      </c>
      <c r="F826" s="2" t="s">
        <v>6</v>
      </c>
      <c r="G826" s="2" t="s">
        <v>84</v>
      </c>
    </row>
    <row r="827" spans="1:7" ht="37.5" x14ac:dyDescent="0.4">
      <c r="A827" s="2">
        <v>826</v>
      </c>
      <c r="B827" s="2" t="s">
        <v>1578</v>
      </c>
      <c r="C827" s="2" t="str">
        <f>"989-6171"</f>
        <v>989-6171</v>
      </c>
      <c r="D827" s="2" t="str">
        <f>"大崎市古川北町１－１－５"</f>
        <v>大崎市古川北町１－１－５</v>
      </c>
      <c r="E827" s="2" t="str">
        <f>"0229-25-8004  "</f>
        <v xml:space="preserve">0229-25-8004  </v>
      </c>
      <c r="F827" s="2" t="s">
        <v>9</v>
      </c>
      <c r="G827" s="2" t="s">
        <v>1063</v>
      </c>
    </row>
    <row r="828" spans="1:7" ht="37.5" x14ac:dyDescent="0.4">
      <c r="A828" s="2">
        <v>827</v>
      </c>
      <c r="B828" s="2" t="s">
        <v>1502</v>
      </c>
      <c r="C828" s="2" t="str">
        <f>"989-6171"</f>
        <v>989-6171</v>
      </c>
      <c r="D828" s="2" t="str">
        <f>"大崎市古川北町１－９－３７"</f>
        <v>大崎市古川北町１－９－３７</v>
      </c>
      <c r="E828" s="2" t="str">
        <f>"0229-21-7520  "</f>
        <v xml:space="preserve">0229-21-7520  </v>
      </c>
      <c r="F828" s="2" t="s">
        <v>9</v>
      </c>
      <c r="G828" s="2" t="s">
        <v>1129</v>
      </c>
    </row>
    <row r="829" spans="1:7" ht="37.5" x14ac:dyDescent="0.4">
      <c r="A829" s="2">
        <v>828</v>
      </c>
      <c r="B829" s="2" t="s">
        <v>1839</v>
      </c>
      <c r="C829" s="2" t="str">
        <f>"989-6171"</f>
        <v>989-6171</v>
      </c>
      <c r="D829" s="2" t="s">
        <v>1840</v>
      </c>
      <c r="E829" s="2" t="str">
        <f>"0229-25-6235  "</f>
        <v xml:space="preserve">0229-25-6235  </v>
      </c>
      <c r="F829" s="2" t="s">
        <v>11</v>
      </c>
      <c r="G829" s="2" t="s">
        <v>1151</v>
      </c>
    </row>
    <row r="830" spans="1:7" x14ac:dyDescent="0.4">
      <c r="A830" s="2">
        <v>829</v>
      </c>
      <c r="B830" s="2" t="s">
        <v>1525</v>
      </c>
      <c r="C830" s="2" t="str">
        <f>"989-6116"</f>
        <v>989-6116</v>
      </c>
      <c r="D830" s="2" t="str">
        <f>"大崎市古川李埣1-1-22"</f>
        <v>大崎市古川李埣1-1-22</v>
      </c>
      <c r="E830" s="2" t="str">
        <f>"0229-87-3436  "</f>
        <v xml:space="preserve">0229-87-3436  </v>
      </c>
      <c r="F830" s="2" t="s">
        <v>9</v>
      </c>
      <c r="G830" s="2" t="s">
        <v>1063</v>
      </c>
    </row>
    <row r="831" spans="1:7" ht="37.5" x14ac:dyDescent="0.4">
      <c r="A831" s="2">
        <v>830</v>
      </c>
      <c r="B831" s="2" t="s">
        <v>629</v>
      </c>
      <c r="C831" s="2" t="str">
        <f>"989-6116"</f>
        <v>989-6116</v>
      </c>
      <c r="D831" s="2" t="str">
        <f>"大崎市古川李埣１－１－２３"</f>
        <v>大崎市古川李埣１－１－２３</v>
      </c>
      <c r="E831" s="2" t="str">
        <f>"0229-24-3770  "</f>
        <v xml:space="preserve">0229-24-3770  </v>
      </c>
      <c r="F831" s="2" t="s">
        <v>6</v>
      </c>
      <c r="G831" s="2" t="s">
        <v>630</v>
      </c>
    </row>
    <row r="832" spans="1:7" ht="37.5" x14ac:dyDescent="0.4">
      <c r="A832" s="2">
        <v>831</v>
      </c>
      <c r="B832" s="2" t="s">
        <v>1315</v>
      </c>
      <c r="C832" s="2" t="str">
        <f>"989-6116"</f>
        <v>989-6116</v>
      </c>
      <c r="D832" s="2" t="str">
        <f>"大崎市古川李埣２丁目６－１１"</f>
        <v>大崎市古川李埣２丁目６－１１</v>
      </c>
      <c r="E832" s="2" t="str">
        <f>"0229-25-5906  "</f>
        <v xml:space="preserve">0229-25-5906  </v>
      </c>
      <c r="F832" s="2" t="s">
        <v>9</v>
      </c>
      <c r="G832" s="2" t="s">
        <v>1063</v>
      </c>
    </row>
    <row r="833" spans="1:7" x14ac:dyDescent="0.4">
      <c r="A833" s="2">
        <v>832</v>
      </c>
      <c r="B833" s="2" t="s">
        <v>1846</v>
      </c>
      <c r="C833" s="2" t="str">
        <f>"989-6321"</f>
        <v>989-6321</v>
      </c>
      <c r="D833" s="2" t="str">
        <f>"大崎市三本木しらとり9-2"</f>
        <v>大崎市三本木しらとり9-2</v>
      </c>
      <c r="E833" s="2" t="str">
        <f>"0229-87-8521  "</f>
        <v xml:space="preserve">0229-87-8521  </v>
      </c>
      <c r="F833" s="2" t="s">
        <v>11</v>
      </c>
      <c r="G833" s="2" t="s">
        <v>1151</v>
      </c>
    </row>
    <row r="834" spans="1:7" ht="37.5" x14ac:dyDescent="0.4">
      <c r="A834" s="2">
        <v>833</v>
      </c>
      <c r="B834" s="2" t="s">
        <v>1576</v>
      </c>
      <c r="C834" s="2" t="str">
        <f>"989-6321"</f>
        <v>989-6321</v>
      </c>
      <c r="D834" s="2" t="str">
        <f>"大崎市三本木字しらとり１７－２"</f>
        <v>大崎市三本木字しらとり１７－２</v>
      </c>
      <c r="E834" s="2" t="str">
        <f>"0229-53-1881  "</f>
        <v xml:space="preserve">0229-53-1881  </v>
      </c>
      <c r="F834" s="2" t="s">
        <v>9</v>
      </c>
      <c r="G834" s="2" t="s">
        <v>1063</v>
      </c>
    </row>
    <row r="835" spans="1:7" ht="37.5" x14ac:dyDescent="0.4">
      <c r="A835" s="2">
        <v>834</v>
      </c>
      <c r="B835" s="2" t="s">
        <v>618</v>
      </c>
      <c r="C835" s="2" t="str">
        <f>"989-6321"</f>
        <v>989-6321</v>
      </c>
      <c r="D835" s="2" t="str">
        <f>"大崎市三本木字しらとり１７－３"</f>
        <v>大崎市三本木字しらとり１７－３</v>
      </c>
      <c r="E835" s="2" t="str">
        <f>"0229-52-3057  "</f>
        <v xml:space="preserve">0229-52-3057  </v>
      </c>
      <c r="F835" s="2" t="s">
        <v>6</v>
      </c>
      <c r="G835" s="2" t="s">
        <v>38</v>
      </c>
    </row>
    <row r="836" spans="1:7" ht="37.5" x14ac:dyDescent="0.4">
      <c r="A836" s="2">
        <v>835</v>
      </c>
      <c r="B836" s="2" t="s">
        <v>1834</v>
      </c>
      <c r="C836" s="2" t="str">
        <f>"989-6321"</f>
        <v>989-6321</v>
      </c>
      <c r="D836" s="2" t="s">
        <v>1835</v>
      </c>
      <c r="E836" s="2" t="str">
        <f>"0229-52-5135  "</f>
        <v xml:space="preserve">0229-52-5135  </v>
      </c>
      <c r="F836" s="2" t="s">
        <v>11</v>
      </c>
      <c r="G836" s="2" t="s">
        <v>1151</v>
      </c>
    </row>
    <row r="837" spans="1:7" ht="37.5" x14ac:dyDescent="0.4">
      <c r="A837" s="2">
        <v>836</v>
      </c>
      <c r="B837" s="2" t="s">
        <v>1507</v>
      </c>
      <c r="C837" s="2" t="str">
        <f>"989-6321"</f>
        <v>989-6321</v>
      </c>
      <c r="D837" s="2" t="str">
        <f>"大崎市三本木字南町３８－２"</f>
        <v>大崎市三本木字南町３８－２</v>
      </c>
      <c r="E837" s="2" t="str">
        <f>"0229-53-1240  "</f>
        <v xml:space="preserve">0229-53-1240  </v>
      </c>
      <c r="F837" s="2" t="s">
        <v>9</v>
      </c>
      <c r="G837" s="2" t="s">
        <v>1129</v>
      </c>
    </row>
    <row r="838" spans="1:7" ht="37.5" x14ac:dyDescent="0.4">
      <c r="A838" s="2">
        <v>837</v>
      </c>
      <c r="B838" s="2" t="s">
        <v>619</v>
      </c>
      <c r="C838" s="2" t="str">
        <f>"989-6321"</f>
        <v>989-6321</v>
      </c>
      <c r="D838" s="2" t="str">
        <f>"大崎市三本木字南町４０－２"</f>
        <v>大崎市三本木字南町４０－２</v>
      </c>
      <c r="E838" s="2" t="str">
        <f>"0229-52-6211  "</f>
        <v xml:space="preserve">0229-52-6211  </v>
      </c>
      <c r="F838" s="2" t="s">
        <v>6</v>
      </c>
      <c r="G838" s="2" t="s">
        <v>122</v>
      </c>
    </row>
    <row r="839" spans="1:7" ht="37.5" x14ac:dyDescent="0.4">
      <c r="A839" s="2">
        <v>838</v>
      </c>
      <c r="B839" s="2" t="s">
        <v>1010</v>
      </c>
      <c r="C839" s="2" t="str">
        <f>"989-6321"</f>
        <v>989-6321</v>
      </c>
      <c r="D839" s="2" t="str">
        <f>"大崎市三本木字北町７８－１"</f>
        <v>大崎市三本木字北町７８－１</v>
      </c>
      <c r="E839" s="2" t="str">
        <f>"0229-52-5510  "</f>
        <v xml:space="preserve">0229-52-5510  </v>
      </c>
      <c r="F839" s="2" t="s">
        <v>6</v>
      </c>
      <c r="G839" s="2" t="s">
        <v>902</v>
      </c>
    </row>
    <row r="840" spans="1:7" ht="37.5" x14ac:dyDescent="0.4">
      <c r="A840" s="2">
        <v>839</v>
      </c>
      <c r="B840" s="2" t="s">
        <v>1303</v>
      </c>
      <c r="C840" s="2" t="str">
        <f>"989-4103"</f>
        <v>989-4103</v>
      </c>
      <c r="D840" s="2" t="str">
        <f>"大崎市鹿島台平渡字新屋敷下　８５－９"</f>
        <v>大崎市鹿島台平渡字新屋敷下　８５－９</v>
      </c>
      <c r="E840" s="2" t="str">
        <f>"0229-56-9827  "</f>
        <v xml:space="preserve">0229-56-9827  </v>
      </c>
      <c r="F840" s="2" t="s">
        <v>9</v>
      </c>
      <c r="G840" s="2" t="s">
        <v>1063</v>
      </c>
    </row>
    <row r="841" spans="1:7" ht="37.5" x14ac:dyDescent="0.4">
      <c r="A841" s="2">
        <v>840</v>
      </c>
      <c r="B841" s="2" t="s">
        <v>620</v>
      </c>
      <c r="C841" s="2" t="str">
        <f>"989-4103"</f>
        <v>989-4103</v>
      </c>
      <c r="D841" s="2" t="str">
        <f>"大崎市鹿島台平渡字新屋敷下　８７－１"</f>
        <v>大崎市鹿島台平渡字新屋敷下　８７－１</v>
      </c>
      <c r="E841" s="2" t="str">
        <f>"0229-56-3700  "</f>
        <v xml:space="preserve">0229-56-3700  </v>
      </c>
      <c r="F841" s="2" t="s">
        <v>6</v>
      </c>
      <c r="G841" s="2" t="s">
        <v>137</v>
      </c>
    </row>
    <row r="842" spans="1:7" ht="37.5" x14ac:dyDescent="0.4">
      <c r="A842" s="2">
        <v>841</v>
      </c>
      <c r="B842" s="2" t="s">
        <v>621</v>
      </c>
      <c r="C842" s="2" t="str">
        <f>"989-4103"</f>
        <v>989-4103</v>
      </c>
      <c r="D842" s="2" t="str">
        <f>"大崎市鹿島台平渡字大沢　２１－１８"</f>
        <v>大崎市鹿島台平渡字大沢　２１－１８</v>
      </c>
      <c r="E842" s="2" t="str">
        <f>"0229-56-2431  "</f>
        <v xml:space="preserve">0229-56-2431  </v>
      </c>
      <c r="F842" s="2" t="s">
        <v>6</v>
      </c>
      <c r="G842" s="2" t="s">
        <v>46</v>
      </c>
    </row>
    <row r="843" spans="1:7" ht="37.5" x14ac:dyDescent="0.4">
      <c r="A843" s="2">
        <v>842</v>
      </c>
      <c r="B843" s="2" t="s">
        <v>1543</v>
      </c>
      <c r="C843" s="2" t="str">
        <f>"989-4103"</f>
        <v>989-4103</v>
      </c>
      <c r="D843" s="2" t="str">
        <f>"大崎市鹿島台平渡字大沢８－３"</f>
        <v>大崎市鹿島台平渡字大沢８－３</v>
      </c>
      <c r="E843" s="2" t="str">
        <f>"0229-25-5692  "</f>
        <v xml:space="preserve">0229-25-5692  </v>
      </c>
      <c r="F843" s="2" t="s">
        <v>9</v>
      </c>
      <c r="G843" s="2" t="s">
        <v>1063</v>
      </c>
    </row>
    <row r="844" spans="1:7" ht="37.5" x14ac:dyDescent="0.4">
      <c r="A844" s="2">
        <v>843</v>
      </c>
      <c r="B844" s="2" t="s">
        <v>944</v>
      </c>
      <c r="C844" s="2" t="str">
        <f>"989-4103"</f>
        <v>989-4103</v>
      </c>
      <c r="D844" s="2" t="s">
        <v>1011</v>
      </c>
      <c r="E844" s="2" t="str">
        <f>"0229-56-2238  "</f>
        <v xml:space="preserve">0229-56-2238  </v>
      </c>
      <c r="F844" s="2" t="s">
        <v>6</v>
      </c>
      <c r="G844" s="2" t="s">
        <v>10</v>
      </c>
    </row>
    <row r="845" spans="1:7" ht="37.5" x14ac:dyDescent="0.4">
      <c r="A845" s="2">
        <v>844</v>
      </c>
      <c r="B845" s="2" t="s">
        <v>1508</v>
      </c>
      <c r="C845" s="2" t="str">
        <f>"989-4103"</f>
        <v>989-4103</v>
      </c>
      <c r="D845" s="2" t="str">
        <f>"大崎市鹿島台平渡字東要害　１６－３"</f>
        <v>大崎市鹿島台平渡字東要害　１６－３</v>
      </c>
      <c r="E845" s="2" t="str">
        <f>"0229-56-9575  "</f>
        <v xml:space="preserve">0229-56-9575  </v>
      </c>
      <c r="F845" s="2" t="s">
        <v>9</v>
      </c>
      <c r="G845" s="2" t="s">
        <v>1063</v>
      </c>
    </row>
    <row r="846" spans="1:7" ht="37.5" x14ac:dyDescent="0.4">
      <c r="A846" s="2">
        <v>845</v>
      </c>
      <c r="B846" s="2" t="s">
        <v>571</v>
      </c>
      <c r="C846" s="2" t="str">
        <f>"989-4103"</f>
        <v>989-4103</v>
      </c>
      <c r="D846" s="2" t="s">
        <v>572</v>
      </c>
      <c r="E846" s="2" t="str">
        <f>"0229-56-2611  "</f>
        <v xml:space="preserve">0229-56-2611  </v>
      </c>
      <c r="F846" s="2" t="s">
        <v>6</v>
      </c>
      <c r="G846" s="2" t="s">
        <v>97</v>
      </c>
    </row>
    <row r="847" spans="1:7" ht="37.5" x14ac:dyDescent="0.4">
      <c r="A847" s="2">
        <v>846</v>
      </c>
      <c r="B847" s="2" t="s">
        <v>1509</v>
      </c>
      <c r="C847" s="2" t="str">
        <f>"989-4103"</f>
        <v>989-4103</v>
      </c>
      <c r="D847" s="2" t="str">
        <f>"大崎市鹿島台平渡字東要害２２－３"</f>
        <v>大崎市鹿島台平渡字東要害２２－３</v>
      </c>
      <c r="E847" s="2" t="str">
        <f>"0229-57-2888  "</f>
        <v xml:space="preserve">0229-57-2888  </v>
      </c>
      <c r="F847" s="2" t="s">
        <v>9</v>
      </c>
      <c r="G847" s="2" t="s">
        <v>1063</v>
      </c>
    </row>
    <row r="848" spans="1:7" ht="37.5" x14ac:dyDescent="0.4">
      <c r="A848" s="2">
        <v>847</v>
      </c>
      <c r="B848" s="2" t="s">
        <v>1531</v>
      </c>
      <c r="C848" s="2" t="str">
        <f>"989-4103"</f>
        <v>989-4103</v>
      </c>
      <c r="D848" s="2" t="s">
        <v>1532</v>
      </c>
      <c r="E848" s="2" t="str">
        <f>"0229-56-6201  "</f>
        <v xml:space="preserve">0229-56-6201  </v>
      </c>
      <c r="F848" s="2" t="s">
        <v>9</v>
      </c>
      <c r="G848" s="2" t="s">
        <v>1063</v>
      </c>
    </row>
    <row r="849" spans="1:7" ht="37.5" x14ac:dyDescent="0.4">
      <c r="A849" s="2">
        <v>848</v>
      </c>
      <c r="B849" s="2" t="s">
        <v>1520</v>
      </c>
      <c r="C849" s="2" t="str">
        <f>"989-4102"</f>
        <v>989-4102</v>
      </c>
      <c r="D849" s="2" t="str">
        <f>"大崎市鹿島台木間塚字小谷地３４４－１"</f>
        <v>大崎市鹿島台木間塚字小谷地３４４－１</v>
      </c>
      <c r="E849" s="2" t="str">
        <f>"0229-56-7016  "</f>
        <v xml:space="preserve">0229-56-7016  </v>
      </c>
      <c r="F849" s="2" t="s">
        <v>9</v>
      </c>
      <c r="G849" s="2" t="s">
        <v>1063</v>
      </c>
    </row>
    <row r="850" spans="1:7" ht="37.5" x14ac:dyDescent="0.4">
      <c r="A850" s="2">
        <v>849</v>
      </c>
      <c r="B850" s="2" t="s">
        <v>656</v>
      </c>
      <c r="C850" s="2" t="str">
        <f>"989-4102"</f>
        <v>989-4102</v>
      </c>
      <c r="D850" s="2" t="str">
        <f>"大崎市鹿島台木間塚字小谷地383-5"</f>
        <v>大崎市鹿島台木間塚字小谷地383-5</v>
      </c>
      <c r="E850" s="2" t="str">
        <f>"0229-56-6111  "</f>
        <v xml:space="preserve">0229-56-6111  </v>
      </c>
      <c r="F850" s="2" t="s">
        <v>6</v>
      </c>
      <c r="G850" s="2" t="s">
        <v>48</v>
      </c>
    </row>
    <row r="851" spans="1:7" ht="37.5" x14ac:dyDescent="0.4">
      <c r="A851" s="2">
        <v>850</v>
      </c>
      <c r="B851" s="2" t="s">
        <v>1537</v>
      </c>
      <c r="C851" s="2" t="str">
        <f>"989-4102"</f>
        <v>989-4102</v>
      </c>
      <c r="D851" s="2" t="str">
        <f>"大崎市鹿島台木間塚字小谷地４２２－１"</f>
        <v>大崎市鹿島台木間塚字小谷地４２２－１</v>
      </c>
      <c r="E851" s="2" t="str">
        <f>"0229-25-8481  "</f>
        <v xml:space="preserve">0229-25-8481  </v>
      </c>
      <c r="F851" s="2" t="s">
        <v>9</v>
      </c>
      <c r="G851" s="2" t="s">
        <v>1063</v>
      </c>
    </row>
    <row r="852" spans="1:7" ht="37.5" x14ac:dyDescent="0.4">
      <c r="A852" s="2">
        <v>851</v>
      </c>
      <c r="B852" s="2" t="s">
        <v>641</v>
      </c>
      <c r="C852" s="2" t="str">
        <f>"989-4102"</f>
        <v>989-4102</v>
      </c>
      <c r="D852" s="2" t="s">
        <v>642</v>
      </c>
      <c r="E852" s="2" t="str">
        <f>"0229-57-1331  "</f>
        <v xml:space="preserve">0229-57-1331  </v>
      </c>
      <c r="F852" s="2" t="s">
        <v>6</v>
      </c>
      <c r="G852" s="2" t="s">
        <v>204</v>
      </c>
    </row>
    <row r="853" spans="1:7" ht="37.5" x14ac:dyDescent="0.4">
      <c r="A853" s="2">
        <v>852</v>
      </c>
      <c r="B853" s="2" t="s">
        <v>1519</v>
      </c>
      <c r="C853" s="2" t="str">
        <f>"987-1303"</f>
        <v>987-1303</v>
      </c>
      <c r="D853" s="2" t="str">
        <f>"大崎市松山金谷字中田８３－２"</f>
        <v>大崎市松山金谷字中田８３－２</v>
      </c>
      <c r="E853" s="2" t="str">
        <f>"0229-54-1055  "</f>
        <v xml:space="preserve">0229-54-1055  </v>
      </c>
      <c r="F853" s="2" t="s">
        <v>9</v>
      </c>
      <c r="G853" s="2" t="s">
        <v>1063</v>
      </c>
    </row>
    <row r="854" spans="1:7" ht="37.5" x14ac:dyDescent="0.4">
      <c r="A854" s="2">
        <v>853</v>
      </c>
      <c r="B854" s="2" t="s">
        <v>634</v>
      </c>
      <c r="C854" s="2" t="str">
        <f>"987-1303"</f>
        <v>987-1303</v>
      </c>
      <c r="D854" s="2" t="s">
        <v>635</v>
      </c>
      <c r="E854" s="2" t="str">
        <f>"0229-55-2511  "</f>
        <v xml:space="preserve">0229-55-2511  </v>
      </c>
      <c r="F854" s="2" t="s">
        <v>6</v>
      </c>
      <c r="G854" s="2" t="s">
        <v>122</v>
      </c>
    </row>
    <row r="855" spans="1:7" ht="37.5" x14ac:dyDescent="0.4">
      <c r="A855" s="2">
        <v>854</v>
      </c>
      <c r="B855" s="2" t="s">
        <v>1529</v>
      </c>
      <c r="C855" s="2" t="str">
        <f>"987-1304"</f>
        <v>987-1304</v>
      </c>
      <c r="D855" s="2" t="s">
        <v>1530</v>
      </c>
      <c r="E855" s="2" t="str">
        <f>"0229-25-9463  "</f>
        <v xml:space="preserve">0229-25-9463  </v>
      </c>
      <c r="F855" s="2" t="s">
        <v>9</v>
      </c>
      <c r="G855" s="2" t="s">
        <v>1129</v>
      </c>
    </row>
    <row r="856" spans="1:7" ht="37.5" x14ac:dyDescent="0.4">
      <c r="A856" s="2">
        <v>855</v>
      </c>
      <c r="B856" s="2" t="s">
        <v>1544</v>
      </c>
      <c r="C856" s="2" t="str">
        <f>"987-1304"</f>
        <v>987-1304</v>
      </c>
      <c r="D856" s="2" t="s">
        <v>617</v>
      </c>
      <c r="E856" s="2" t="str">
        <f>"0229-87-4851  "</f>
        <v xml:space="preserve">0229-87-4851  </v>
      </c>
      <c r="F856" s="2" t="s">
        <v>9</v>
      </c>
      <c r="G856" s="2" t="s">
        <v>1129</v>
      </c>
    </row>
    <row r="857" spans="1:7" ht="37.5" x14ac:dyDescent="0.4">
      <c r="A857" s="2">
        <v>856</v>
      </c>
      <c r="B857" s="2" t="s">
        <v>1244</v>
      </c>
      <c r="C857" s="2" t="str">
        <f>"989-4415"</f>
        <v>989-4415</v>
      </c>
      <c r="D857" s="2" t="s">
        <v>1517</v>
      </c>
      <c r="E857" s="2" t="str">
        <f>"0229-39-3235  "</f>
        <v xml:space="preserve">0229-39-3235  </v>
      </c>
      <c r="F857" s="2" t="s">
        <v>9</v>
      </c>
      <c r="G857" s="2" t="s">
        <v>1063</v>
      </c>
    </row>
    <row r="858" spans="1:7" ht="37.5" x14ac:dyDescent="0.4">
      <c r="A858" s="2">
        <v>857</v>
      </c>
      <c r="B858" s="2" t="s">
        <v>1515</v>
      </c>
      <c r="C858" s="2" t="str">
        <f>"989-4308"</f>
        <v>989-4308</v>
      </c>
      <c r="D858" s="2" t="str">
        <f>"大崎市田尻沼部字塩加良36-1"</f>
        <v>大崎市田尻沼部字塩加良36-1</v>
      </c>
      <c r="E858" s="2" t="str">
        <f>"0229-39-2352  "</f>
        <v xml:space="preserve">0229-39-2352  </v>
      </c>
      <c r="F858" s="2" t="s">
        <v>9</v>
      </c>
      <c r="G858" s="2" t="s">
        <v>1063</v>
      </c>
    </row>
    <row r="859" spans="1:7" ht="37.5" x14ac:dyDescent="0.4">
      <c r="A859" s="2">
        <v>858</v>
      </c>
      <c r="B859" s="2" t="s">
        <v>1526</v>
      </c>
      <c r="C859" s="2" t="str">
        <f>"989-4308"</f>
        <v>989-4308</v>
      </c>
      <c r="D859" s="2" t="str">
        <f>"大崎市田尻沼部字新富岡３４－１"</f>
        <v>大崎市田尻沼部字新富岡３４－１</v>
      </c>
      <c r="E859" s="2" t="str">
        <f>"0229-39-3132  "</f>
        <v xml:space="preserve">0229-39-3132  </v>
      </c>
      <c r="F859" s="2" t="s">
        <v>9</v>
      </c>
      <c r="G859" s="2" t="s">
        <v>1063</v>
      </c>
    </row>
    <row r="860" spans="1:7" ht="37.5" x14ac:dyDescent="0.4">
      <c r="A860" s="2">
        <v>859</v>
      </c>
      <c r="B860" s="2" t="s">
        <v>1015</v>
      </c>
      <c r="C860" s="2" t="str">
        <f>"989-4308"</f>
        <v>989-4308</v>
      </c>
      <c r="D860" s="2" t="str">
        <f>"大崎市田尻沼部字新堀１３６－１"</f>
        <v>大崎市田尻沼部字新堀１３６－１</v>
      </c>
      <c r="E860" s="2" t="str">
        <f>"0229-39-0008  "</f>
        <v xml:space="preserve">0229-39-0008  </v>
      </c>
      <c r="F860" s="2" t="s">
        <v>10</v>
      </c>
      <c r="G860" s="2" t="s">
        <v>902</v>
      </c>
    </row>
    <row r="861" spans="1:7" ht="37.5" x14ac:dyDescent="0.4">
      <c r="A861" s="2">
        <v>860</v>
      </c>
      <c r="B861" s="2" t="s">
        <v>578</v>
      </c>
      <c r="C861" s="2" t="str">
        <f>"989-4413"</f>
        <v>989-4413</v>
      </c>
      <c r="D861" s="2" t="str">
        <f>"大崎市田尻通木字中崎東１０－１"</f>
        <v>大崎市田尻通木字中崎東１０－１</v>
      </c>
      <c r="E861" s="2" t="str">
        <f>"0229-38-1152  "</f>
        <v xml:space="preserve">0229-38-1152  </v>
      </c>
      <c r="F861" s="2" t="s">
        <v>6</v>
      </c>
      <c r="G861" s="2" t="s">
        <v>579</v>
      </c>
    </row>
    <row r="862" spans="1:7" ht="37.5" x14ac:dyDescent="0.4">
      <c r="A862" s="2">
        <v>861</v>
      </c>
      <c r="B862" s="2" t="s">
        <v>1516</v>
      </c>
      <c r="C862" s="2" t="str">
        <f>"989-4414"</f>
        <v>989-4414</v>
      </c>
      <c r="D862" s="2" t="str">
        <f>"大崎市田尻北牧目字新堀　４４－３"</f>
        <v>大崎市田尻北牧目字新堀　４４－３</v>
      </c>
      <c r="E862" s="2" t="str">
        <f>"0229-39-2425  "</f>
        <v xml:space="preserve">0229-39-2425  </v>
      </c>
      <c r="F862" s="2" t="s">
        <v>9</v>
      </c>
      <c r="G862" s="2" t="s">
        <v>1063</v>
      </c>
    </row>
    <row r="863" spans="1:7" ht="37.5" x14ac:dyDescent="0.4">
      <c r="A863" s="2">
        <v>862</v>
      </c>
      <c r="B863" s="2" t="s">
        <v>626</v>
      </c>
      <c r="C863" s="2" t="str">
        <f>"989-4414"</f>
        <v>989-4414</v>
      </c>
      <c r="D863" s="2" t="s">
        <v>627</v>
      </c>
      <c r="E863" s="2" t="str">
        <f>"0229-39-1233  "</f>
        <v xml:space="preserve">0229-39-1233  </v>
      </c>
      <c r="F863" s="2" t="s">
        <v>6</v>
      </c>
      <c r="G863" s="2" t="s">
        <v>628</v>
      </c>
    </row>
    <row r="864" spans="1:7" ht="37.5" x14ac:dyDescent="0.4">
      <c r="A864" s="2">
        <v>863</v>
      </c>
      <c r="B864" s="2" t="s">
        <v>623</v>
      </c>
      <c r="C864" s="2" t="str">
        <f>"989-6823"</f>
        <v>989-6823</v>
      </c>
      <c r="D864" s="2" t="s">
        <v>624</v>
      </c>
      <c r="E864" s="2" t="str">
        <f>"0229-81-1133  "</f>
        <v xml:space="preserve">0229-81-1133  </v>
      </c>
      <c r="F864" s="2" t="s">
        <v>6</v>
      </c>
      <c r="G864" s="2" t="s">
        <v>625</v>
      </c>
    </row>
    <row r="865" spans="1:7" ht="37.5" x14ac:dyDescent="0.4">
      <c r="A865" s="2">
        <v>864</v>
      </c>
      <c r="B865" s="2" t="s">
        <v>1512</v>
      </c>
      <c r="C865" s="2" t="str">
        <f>"989-6823"</f>
        <v>989-6823</v>
      </c>
      <c r="D865" s="2" t="s">
        <v>1513</v>
      </c>
      <c r="E865" s="2" t="str">
        <f>"0229-83-3221  "</f>
        <v xml:space="preserve">0229-83-3221  </v>
      </c>
      <c r="F865" s="2" t="s">
        <v>9</v>
      </c>
      <c r="G865" s="2" t="s">
        <v>1063</v>
      </c>
    </row>
    <row r="866" spans="1:7" ht="37.5" x14ac:dyDescent="0.4">
      <c r="A866" s="2">
        <v>865</v>
      </c>
      <c r="B866" s="2" t="s">
        <v>575</v>
      </c>
      <c r="C866" s="2" t="str">
        <f>"989-6801"</f>
        <v>989-6801</v>
      </c>
      <c r="D866" s="2" t="s">
        <v>576</v>
      </c>
      <c r="E866" s="2" t="str">
        <f>"0229-82-2311  "</f>
        <v xml:space="preserve">0229-82-2311  </v>
      </c>
      <c r="F866" s="2" t="s">
        <v>6</v>
      </c>
      <c r="G866" s="2" t="s">
        <v>577</v>
      </c>
    </row>
    <row r="867" spans="1:7" ht="37.5" x14ac:dyDescent="0.4">
      <c r="A867" s="2">
        <v>866</v>
      </c>
      <c r="B867" s="2" t="s">
        <v>1514</v>
      </c>
      <c r="C867" s="2" t="str">
        <f>"989-6802"</f>
        <v>989-6802</v>
      </c>
      <c r="D867" s="2" t="str">
        <f>"大崎市鳴子温泉字末沢西１１－１７"</f>
        <v>大崎市鳴子温泉字末沢西１１－１７</v>
      </c>
      <c r="E867" s="2" t="str">
        <f>"0229-81-1167  "</f>
        <v xml:space="preserve">0229-81-1167  </v>
      </c>
      <c r="F867" s="2" t="s">
        <v>9</v>
      </c>
      <c r="G867" s="2" t="s">
        <v>1129</v>
      </c>
    </row>
    <row r="868" spans="1:7" ht="37.5" x14ac:dyDescent="0.4">
      <c r="A868" s="2">
        <v>867</v>
      </c>
      <c r="B868" s="2" t="s">
        <v>460</v>
      </c>
      <c r="C868" s="2" t="str">
        <f>"989-4703"</f>
        <v>989-4703</v>
      </c>
      <c r="D868" s="2" t="s">
        <v>461</v>
      </c>
      <c r="E868" s="2" t="str">
        <f>"0228-34-3211  "</f>
        <v xml:space="preserve">0228-34-3211  </v>
      </c>
      <c r="F868" s="2" t="s">
        <v>6</v>
      </c>
      <c r="G868" s="2" t="s">
        <v>462</v>
      </c>
    </row>
    <row r="869" spans="1:7" ht="37.5" x14ac:dyDescent="0.4">
      <c r="A869" s="2">
        <v>868</v>
      </c>
      <c r="B869" s="2" t="s">
        <v>1399</v>
      </c>
      <c r="C869" s="2" t="str">
        <f>"989-4703"</f>
        <v>989-4703</v>
      </c>
      <c r="D869" s="2" t="s">
        <v>1400</v>
      </c>
      <c r="E869" s="2" t="str">
        <f>"0228-34-4123  "</f>
        <v xml:space="preserve">0228-34-4123  </v>
      </c>
      <c r="F869" s="2" t="s">
        <v>9</v>
      </c>
      <c r="G869" s="2" t="s">
        <v>1063</v>
      </c>
    </row>
    <row r="870" spans="1:7" ht="37.5" x14ac:dyDescent="0.4">
      <c r="A870" s="2">
        <v>869</v>
      </c>
      <c r="B870" s="2" t="s">
        <v>473</v>
      </c>
      <c r="C870" s="2" t="str">
        <f>"987-0602"</f>
        <v>987-0602</v>
      </c>
      <c r="D870" s="2" t="str">
        <f>"登米市中田町上沼字新寺山下５９－１"</f>
        <v>登米市中田町上沼字新寺山下５９－１</v>
      </c>
      <c r="E870" s="2" t="str">
        <f>"0220-34-2120  "</f>
        <v xml:space="preserve">0220-34-2120  </v>
      </c>
      <c r="F870" s="2" t="s">
        <v>6</v>
      </c>
      <c r="G870" s="2" t="s">
        <v>61</v>
      </c>
    </row>
    <row r="871" spans="1:7" ht="37.5" x14ac:dyDescent="0.4">
      <c r="A871" s="2">
        <v>870</v>
      </c>
      <c r="B871" s="2" t="s">
        <v>1405</v>
      </c>
      <c r="C871" s="2" t="str">
        <f>"987-0602"</f>
        <v>987-0602</v>
      </c>
      <c r="D871" s="2" t="str">
        <f>"登米市中田町上沼字新寺山下５９－７"</f>
        <v>登米市中田町上沼字新寺山下５９－７</v>
      </c>
      <c r="E871" s="2" t="str">
        <f>"0220-35-2021  "</f>
        <v xml:space="preserve">0220-35-2021  </v>
      </c>
      <c r="F871" s="2" t="s">
        <v>9</v>
      </c>
      <c r="G871" s="2" t="s">
        <v>1063</v>
      </c>
    </row>
    <row r="872" spans="1:7" ht="37.5" x14ac:dyDescent="0.4">
      <c r="A872" s="2">
        <v>871</v>
      </c>
      <c r="B872" s="2" t="s">
        <v>1389</v>
      </c>
      <c r="C872" s="2" t="str">
        <f>"987-0601"</f>
        <v>987-0601</v>
      </c>
      <c r="D872" s="2" t="s">
        <v>1390</v>
      </c>
      <c r="E872" s="2" t="str">
        <f>"0220-35-1089  "</f>
        <v xml:space="preserve">0220-35-1089  </v>
      </c>
      <c r="F872" s="2" t="s">
        <v>9</v>
      </c>
      <c r="G872" s="2" t="s">
        <v>1063</v>
      </c>
    </row>
    <row r="873" spans="1:7" ht="37.5" x14ac:dyDescent="0.4">
      <c r="A873" s="2">
        <v>872</v>
      </c>
      <c r="B873" s="2" t="s">
        <v>457</v>
      </c>
      <c r="C873" s="2" t="str">
        <f>"987-0601"</f>
        <v>987-0601</v>
      </c>
      <c r="D873" s="2" t="str">
        <f>"登米市中田町石森字加賀野　２－５－２５"</f>
        <v>登米市中田町石森字加賀野　２－５－２５</v>
      </c>
      <c r="E873" s="2" t="str">
        <f>"0220-35-1066  "</f>
        <v xml:space="preserve">0220-35-1066  </v>
      </c>
      <c r="F873" s="2" t="s">
        <v>6</v>
      </c>
      <c r="G873" s="2" t="s">
        <v>48</v>
      </c>
    </row>
    <row r="874" spans="1:7" ht="37.5" x14ac:dyDescent="0.4">
      <c r="A874" s="2">
        <v>873</v>
      </c>
      <c r="B874" s="2" t="s">
        <v>1398</v>
      </c>
      <c r="C874" s="2" t="str">
        <f>"987-0601"</f>
        <v>987-0601</v>
      </c>
      <c r="D874" s="2" t="str">
        <f>"登米市中田町石森字加賀野２－２５－２５"</f>
        <v>登米市中田町石森字加賀野２－２５－２５</v>
      </c>
      <c r="E874" s="2" t="str">
        <f>"0220-35-3080  "</f>
        <v xml:space="preserve">0220-35-3080  </v>
      </c>
      <c r="F874" s="2" t="s">
        <v>9</v>
      </c>
      <c r="G874" s="2" t="s">
        <v>1063</v>
      </c>
    </row>
    <row r="875" spans="1:7" ht="37.5" x14ac:dyDescent="0.4">
      <c r="A875" s="2">
        <v>874</v>
      </c>
      <c r="B875" s="2" t="s">
        <v>474</v>
      </c>
      <c r="C875" s="2" t="str">
        <f>"987-0601"</f>
        <v>987-0601</v>
      </c>
      <c r="D875" s="2" t="str">
        <f>"登米市中田町石森字加賀野２丁目２５－２４"</f>
        <v>登米市中田町石森字加賀野２丁目２５－２４</v>
      </c>
      <c r="E875" s="2" t="str">
        <f>"0220-35-1161  "</f>
        <v xml:space="preserve">0220-35-1161  </v>
      </c>
      <c r="F875" s="2" t="s">
        <v>6</v>
      </c>
      <c r="G875" s="2" t="s">
        <v>306</v>
      </c>
    </row>
    <row r="876" spans="1:7" ht="37.5" x14ac:dyDescent="0.4">
      <c r="A876" s="2">
        <v>875</v>
      </c>
      <c r="B876" s="2" t="s">
        <v>985</v>
      </c>
      <c r="C876" s="2" t="str">
        <f>"987-0601"</f>
        <v>987-0601</v>
      </c>
      <c r="D876" s="2" t="s">
        <v>986</v>
      </c>
      <c r="E876" s="2" t="str">
        <f>"0220-34-4888  "</f>
        <v xml:space="preserve">0220-34-4888  </v>
      </c>
      <c r="F876" s="2" t="s">
        <v>6</v>
      </c>
      <c r="G876" s="2" t="s">
        <v>10</v>
      </c>
    </row>
    <row r="877" spans="1:7" ht="37.5" x14ac:dyDescent="0.4">
      <c r="A877" s="2">
        <v>876</v>
      </c>
      <c r="B877" s="2" t="s">
        <v>481</v>
      </c>
      <c r="C877" s="2" t="str">
        <f>"987-0601"</f>
        <v>987-0601</v>
      </c>
      <c r="D877" s="2" t="s">
        <v>482</v>
      </c>
      <c r="E877" s="2" t="str">
        <f>"0220-23-9565  "</f>
        <v xml:space="preserve">0220-23-9565  </v>
      </c>
      <c r="F877" s="2" t="s">
        <v>6</v>
      </c>
      <c r="G877" s="2" t="s">
        <v>48</v>
      </c>
    </row>
    <row r="878" spans="1:7" ht="37.5" x14ac:dyDescent="0.4">
      <c r="A878" s="2">
        <v>877</v>
      </c>
      <c r="B878" s="2" t="s">
        <v>1823</v>
      </c>
      <c r="C878" s="2" t="str">
        <f>"987-0611"</f>
        <v>987-0611</v>
      </c>
      <c r="D878" s="2" t="s">
        <v>1824</v>
      </c>
      <c r="E878" s="2" t="str">
        <f>"0220-35-2656  "</f>
        <v xml:space="preserve">0220-35-2656  </v>
      </c>
      <c r="F878" s="2" t="s">
        <v>11</v>
      </c>
      <c r="G878" s="2" t="s">
        <v>1151</v>
      </c>
    </row>
    <row r="879" spans="1:7" ht="37.5" x14ac:dyDescent="0.4">
      <c r="A879" s="2">
        <v>878</v>
      </c>
      <c r="B879" s="2" t="s">
        <v>463</v>
      </c>
      <c r="C879" s="2" t="str">
        <f>"986-0401"</f>
        <v>986-0401</v>
      </c>
      <c r="D879" s="2" t="s">
        <v>464</v>
      </c>
      <c r="E879" s="2" t="str">
        <f>"0225-68-3210  "</f>
        <v xml:space="preserve">0225-68-3210  </v>
      </c>
      <c r="F879" s="2" t="s">
        <v>6</v>
      </c>
      <c r="G879" s="2" t="s">
        <v>62</v>
      </c>
    </row>
    <row r="880" spans="1:7" ht="37.5" x14ac:dyDescent="0.4">
      <c r="A880" s="2">
        <v>879</v>
      </c>
      <c r="B880" s="2" t="s">
        <v>1392</v>
      </c>
      <c r="C880" s="2" t="str">
        <f>"986-0401"</f>
        <v>986-0401</v>
      </c>
      <c r="D880" s="2" t="s">
        <v>1393</v>
      </c>
      <c r="E880" s="2" t="str">
        <f>"0225-61-5188  "</f>
        <v xml:space="preserve">0225-61-5188  </v>
      </c>
      <c r="F880" s="2" t="s">
        <v>9</v>
      </c>
      <c r="G880" s="2"/>
    </row>
    <row r="881" spans="1:7" ht="37.5" x14ac:dyDescent="0.4">
      <c r="A881" s="2">
        <v>880</v>
      </c>
      <c r="B881" s="2" t="s">
        <v>1420</v>
      </c>
      <c r="C881" s="2" t="str">
        <f>"987-0702"</f>
        <v>987-0702</v>
      </c>
      <c r="D881" s="2" t="str">
        <f>"登米市登米町寺池桜小路９９－１０"</f>
        <v>登米市登米町寺池桜小路９９－１０</v>
      </c>
      <c r="E881" s="2" t="str">
        <f>"0220-23-8288  "</f>
        <v xml:space="preserve">0220-23-8288  </v>
      </c>
      <c r="F881" s="2" t="s">
        <v>9</v>
      </c>
      <c r="G881" s="2" t="s">
        <v>1063</v>
      </c>
    </row>
    <row r="882" spans="1:7" ht="37.5" x14ac:dyDescent="0.4">
      <c r="A882" s="2">
        <v>881</v>
      </c>
      <c r="B882" s="2" t="s">
        <v>1418</v>
      </c>
      <c r="C882" s="2" t="str">
        <f>"987-0702"</f>
        <v>987-0702</v>
      </c>
      <c r="D882" s="2" t="str">
        <f>"登米市登米町寺池前船橋4-4"</f>
        <v>登米市登米町寺池前船橋4-4</v>
      </c>
      <c r="E882" s="2" t="s">
        <v>7</v>
      </c>
      <c r="F882" s="2" t="s">
        <v>9</v>
      </c>
      <c r="G882" s="2"/>
    </row>
    <row r="883" spans="1:7" ht="37.5" x14ac:dyDescent="0.4">
      <c r="A883" s="2">
        <v>882</v>
      </c>
      <c r="B883" s="2" t="s">
        <v>1410</v>
      </c>
      <c r="C883" s="2" t="str">
        <f>"987-0704"</f>
        <v>987-0704</v>
      </c>
      <c r="D883" s="2" t="s">
        <v>1411</v>
      </c>
      <c r="E883" s="2" t="str">
        <f>"0220-23-7464  "</f>
        <v xml:space="preserve">0220-23-7464  </v>
      </c>
      <c r="F883" s="2" t="s">
        <v>9</v>
      </c>
      <c r="G883" s="2" t="s">
        <v>1063</v>
      </c>
    </row>
    <row r="884" spans="1:7" ht="37.5" x14ac:dyDescent="0.4">
      <c r="A884" s="2">
        <v>883</v>
      </c>
      <c r="B884" s="2" t="s">
        <v>483</v>
      </c>
      <c r="C884" s="2" t="str">
        <f>"987-0704"</f>
        <v>987-0704</v>
      </c>
      <c r="D884" s="2" t="s">
        <v>484</v>
      </c>
      <c r="E884" s="2" t="str">
        <f>"0220-52-2303  "</f>
        <v xml:space="preserve">0220-52-2303  </v>
      </c>
      <c r="F884" s="2" t="s">
        <v>6</v>
      </c>
      <c r="G884" s="2" t="s">
        <v>61</v>
      </c>
    </row>
    <row r="885" spans="1:7" ht="37.5" x14ac:dyDescent="0.4">
      <c r="A885" s="2">
        <v>884</v>
      </c>
      <c r="B885" s="2" t="s">
        <v>1394</v>
      </c>
      <c r="C885" s="2" t="str">
        <f>"987-0901"</f>
        <v>987-0901</v>
      </c>
      <c r="D885" s="2" t="s">
        <v>1395</v>
      </c>
      <c r="E885" s="2" t="str">
        <f>"0220-53-4161  "</f>
        <v xml:space="preserve">0220-53-4161  </v>
      </c>
      <c r="F885" s="2" t="s">
        <v>9</v>
      </c>
      <c r="G885" s="2" t="s">
        <v>1063</v>
      </c>
    </row>
    <row r="886" spans="1:7" ht="37.5" x14ac:dyDescent="0.4">
      <c r="A886" s="2">
        <v>885</v>
      </c>
      <c r="B886" s="2" t="s">
        <v>477</v>
      </c>
      <c r="C886" s="2" t="str">
        <f>"987-0901"</f>
        <v>987-0901</v>
      </c>
      <c r="D886" s="2" t="str">
        <f>"登米市東和町米川字町下５９－１"</f>
        <v>登米市東和町米川字町下５９－１</v>
      </c>
      <c r="E886" s="2" t="str">
        <f>"0220-45-2301  "</f>
        <v xml:space="preserve">0220-45-2301  </v>
      </c>
      <c r="F886" s="2" t="s">
        <v>6</v>
      </c>
      <c r="G886" s="2" t="s">
        <v>61</v>
      </c>
    </row>
    <row r="887" spans="1:7" ht="37.5" x14ac:dyDescent="0.4">
      <c r="A887" s="2">
        <v>886</v>
      </c>
      <c r="B887" s="2" t="s">
        <v>470</v>
      </c>
      <c r="C887" s="2" t="str">
        <f>"987-0902"</f>
        <v>987-0902</v>
      </c>
      <c r="D887" s="2" t="s">
        <v>471</v>
      </c>
      <c r="E887" s="2" t="str">
        <f>"0220-42-2007  "</f>
        <v xml:space="preserve">0220-42-2007  </v>
      </c>
      <c r="F887" s="2" t="s">
        <v>6</v>
      </c>
      <c r="G887" s="2" t="s">
        <v>472</v>
      </c>
    </row>
    <row r="888" spans="1:7" ht="37.5" x14ac:dyDescent="0.4">
      <c r="A888" s="2">
        <v>887</v>
      </c>
      <c r="B888" s="2" t="s">
        <v>1413</v>
      </c>
      <c r="C888" s="2" t="str">
        <f>"987-0902"</f>
        <v>987-0902</v>
      </c>
      <c r="D888" s="2" t="s">
        <v>1414</v>
      </c>
      <c r="E888" s="2" t="str">
        <f>"0220-23-8466  "</f>
        <v xml:space="preserve">0220-23-8466  </v>
      </c>
      <c r="F888" s="2" t="s">
        <v>9</v>
      </c>
      <c r="G888" s="2" t="s">
        <v>1129</v>
      </c>
    </row>
    <row r="889" spans="1:7" ht="37.5" x14ac:dyDescent="0.4">
      <c r="A889" s="2">
        <v>888</v>
      </c>
      <c r="B889" s="2" t="s">
        <v>1415</v>
      </c>
      <c r="C889" s="2" t="str">
        <f>"987-0902"</f>
        <v>987-0902</v>
      </c>
      <c r="D889" s="2" t="s">
        <v>1416</v>
      </c>
      <c r="E889" s="2" t="str">
        <f>"0220-23-7961  "</f>
        <v xml:space="preserve">0220-23-7961  </v>
      </c>
      <c r="F889" s="2" t="s">
        <v>9</v>
      </c>
      <c r="G889" s="2" t="s">
        <v>1063</v>
      </c>
    </row>
    <row r="890" spans="1:7" ht="37.5" x14ac:dyDescent="0.4">
      <c r="A890" s="2">
        <v>889</v>
      </c>
      <c r="B890" s="2" t="s">
        <v>1820</v>
      </c>
      <c r="C890" s="2" t="str">
        <f>"987-0902"</f>
        <v>987-0902</v>
      </c>
      <c r="D890" s="2" t="s">
        <v>1821</v>
      </c>
      <c r="E890" s="2" t="str">
        <f>"0220-42-2009  "</f>
        <v xml:space="preserve">0220-42-2009  </v>
      </c>
      <c r="F890" s="2" t="s">
        <v>11</v>
      </c>
      <c r="G890" s="2" t="s">
        <v>1151</v>
      </c>
    </row>
    <row r="891" spans="1:7" ht="37.5" x14ac:dyDescent="0.4">
      <c r="A891" s="2">
        <v>890</v>
      </c>
      <c r="B891" s="2" t="s">
        <v>1391</v>
      </c>
      <c r="C891" s="2" t="str">
        <f>"987-0403"</f>
        <v>987-0403</v>
      </c>
      <c r="D891" s="2" t="str">
        <f>"登米市南方町鴻ノ木　１５１－１"</f>
        <v>登米市南方町鴻ノ木　１５１－１</v>
      </c>
      <c r="E891" s="2" t="str">
        <f>"0220-29-6601  "</f>
        <v xml:space="preserve">0220-29-6601  </v>
      </c>
      <c r="F891" s="2" t="s">
        <v>9</v>
      </c>
      <c r="G891" s="2" t="s">
        <v>1063</v>
      </c>
    </row>
    <row r="892" spans="1:7" ht="37.5" x14ac:dyDescent="0.4">
      <c r="A892" s="2">
        <v>891</v>
      </c>
      <c r="B892" s="2" t="s">
        <v>478</v>
      </c>
      <c r="C892" s="2" t="str">
        <f>"987-0403"</f>
        <v>987-0403</v>
      </c>
      <c r="D892" s="2" t="str">
        <f>"登米市南方町鴻ノ木１５２－１"</f>
        <v>登米市南方町鴻ノ木１５２－１</v>
      </c>
      <c r="E892" s="2" t="str">
        <f>"0220-29-6060  "</f>
        <v xml:space="preserve">0220-29-6060  </v>
      </c>
      <c r="F892" s="2" t="s">
        <v>6</v>
      </c>
      <c r="G892" s="2" t="s">
        <v>215</v>
      </c>
    </row>
    <row r="893" spans="1:7" ht="37.5" x14ac:dyDescent="0.4">
      <c r="A893" s="2">
        <v>892</v>
      </c>
      <c r="B893" s="2" t="s">
        <v>1403</v>
      </c>
      <c r="C893" s="2" t="str">
        <f>"987-0401"</f>
        <v>987-0401</v>
      </c>
      <c r="D893" s="2" t="str">
        <f>"登米市南方町西山成前１３５－１"</f>
        <v>登米市南方町西山成前１３５－１</v>
      </c>
      <c r="E893" s="2" t="str">
        <f>"0220-58-2762  "</f>
        <v xml:space="preserve">0220-58-2762  </v>
      </c>
      <c r="F893" s="2" t="s">
        <v>9</v>
      </c>
      <c r="G893" s="2" t="s">
        <v>1063</v>
      </c>
    </row>
    <row r="894" spans="1:7" ht="37.5" x14ac:dyDescent="0.4">
      <c r="A894" s="2">
        <v>893</v>
      </c>
      <c r="B894" s="2" t="s">
        <v>1409</v>
      </c>
      <c r="C894" s="2" t="str">
        <f>"987-0511"</f>
        <v>987-0511</v>
      </c>
      <c r="D894" s="2" t="str">
        <f>"登米市迫町佐沼光ヶ丘51-1"</f>
        <v>登米市迫町佐沼光ヶ丘51-1</v>
      </c>
      <c r="E894" s="2" t="str">
        <f>"0220-23-9570  "</f>
        <v xml:space="preserve">0220-23-9570  </v>
      </c>
      <c r="F894" s="2" t="s">
        <v>9</v>
      </c>
      <c r="G894" s="2" t="s">
        <v>1063</v>
      </c>
    </row>
    <row r="895" spans="1:7" ht="93.75" x14ac:dyDescent="0.4">
      <c r="A895" s="2">
        <v>894</v>
      </c>
      <c r="B895" s="2" t="s">
        <v>465</v>
      </c>
      <c r="C895" s="2" t="str">
        <f>"987-0511"</f>
        <v>987-0511</v>
      </c>
      <c r="D895" s="2" t="s">
        <v>466</v>
      </c>
      <c r="E895" s="2" t="str">
        <f>"0220-22-5511  "</f>
        <v xml:space="preserve">0220-22-5511  </v>
      </c>
      <c r="F895" s="2" t="s">
        <v>6</v>
      </c>
      <c r="G895" s="2" t="s">
        <v>467</v>
      </c>
    </row>
    <row r="896" spans="1:7" ht="37.5" x14ac:dyDescent="0.4">
      <c r="A896" s="2">
        <v>895</v>
      </c>
      <c r="B896" s="2" t="s">
        <v>1397</v>
      </c>
      <c r="C896" s="2" t="str">
        <f>"987-0511"</f>
        <v>987-0511</v>
      </c>
      <c r="D896" s="2" t="str">
        <f>"登米市迫町佐沼字下田中３５－２"</f>
        <v>登米市迫町佐沼字下田中３５－２</v>
      </c>
      <c r="E896" s="2" t="str">
        <f>"0220-21-6233  "</f>
        <v xml:space="preserve">0220-21-6233  </v>
      </c>
      <c r="F896" s="2" t="s">
        <v>9</v>
      </c>
      <c r="G896" s="2" t="s">
        <v>1063</v>
      </c>
    </row>
    <row r="897" spans="1:7" ht="37.5" x14ac:dyDescent="0.4">
      <c r="A897" s="2">
        <v>896</v>
      </c>
      <c r="B897" s="2" t="s">
        <v>1396</v>
      </c>
      <c r="C897" s="2" t="str">
        <f>"987-0511"</f>
        <v>987-0511</v>
      </c>
      <c r="D897" s="2" t="str">
        <f>"登米市迫町佐沼字下田中３９－１"</f>
        <v>登米市迫町佐沼字下田中３９－１</v>
      </c>
      <c r="E897" s="2" t="str">
        <f>"0220-21-6556  "</f>
        <v xml:space="preserve">0220-21-6556  </v>
      </c>
      <c r="F897" s="2" t="s">
        <v>9</v>
      </c>
      <c r="G897" s="2" t="s">
        <v>1063</v>
      </c>
    </row>
    <row r="898" spans="1:7" x14ac:dyDescent="0.4">
      <c r="A898" s="2">
        <v>897</v>
      </c>
      <c r="B898" s="2" t="s">
        <v>475</v>
      </c>
      <c r="C898" s="2" t="str">
        <f>"987-0511"</f>
        <v>987-0511</v>
      </c>
      <c r="D898" s="2" t="s">
        <v>476</v>
      </c>
      <c r="E898" s="2" t="str">
        <f>"0220-22-7003  "</f>
        <v xml:space="preserve">0220-22-7003  </v>
      </c>
      <c r="F898" s="2" t="s">
        <v>6</v>
      </c>
      <c r="G898" s="2" t="s">
        <v>38</v>
      </c>
    </row>
    <row r="899" spans="1:7" x14ac:dyDescent="0.4">
      <c r="A899" s="2">
        <v>898</v>
      </c>
      <c r="B899" s="2" t="s">
        <v>1401</v>
      </c>
      <c r="C899" s="2" t="str">
        <f>"987-0511"</f>
        <v>987-0511</v>
      </c>
      <c r="D899" s="2" t="s">
        <v>1402</v>
      </c>
      <c r="E899" s="2" t="str">
        <f>"0220-22-1202  "</f>
        <v xml:space="preserve">0220-22-1202  </v>
      </c>
      <c r="F899" s="2" t="s">
        <v>9</v>
      </c>
      <c r="G899" s="2" t="s">
        <v>1063</v>
      </c>
    </row>
    <row r="900" spans="1:7" ht="37.5" x14ac:dyDescent="0.4">
      <c r="A900" s="2">
        <v>899</v>
      </c>
      <c r="B900" s="2" t="s">
        <v>446</v>
      </c>
      <c r="C900" s="2" t="str">
        <f>"987-0511"</f>
        <v>987-0511</v>
      </c>
      <c r="D900" s="2" t="str">
        <f>"登米市迫町佐沼字光ヶ丘５１－１"</f>
        <v>登米市迫町佐沼字光ヶ丘５１－１</v>
      </c>
      <c r="E900" s="2" t="str">
        <f>"0220-22-2160  "</f>
        <v xml:space="preserve">0220-22-2160  </v>
      </c>
      <c r="F900" s="2" t="s">
        <v>6</v>
      </c>
      <c r="G900" s="2" t="s">
        <v>38</v>
      </c>
    </row>
    <row r="901" spans="1:7" ht="37.5" x14ac:dyDescent="0.4">
      <c r="A901" s="2">
        <v>900</v>
      </c>
      <c r="B901" s="2" t="s">
        <v>452</v>
      </c>
      <c r="C901" s="2" t="str">
        <f>"987-0511"</f>
        <v>987-0511</v>
      </c>
      <c r="D901" s="2" t="str">
        <f>"登米市迫町佐沼字江合　２－１２－１２"</f>
        <v>登米市迫町佐沼字江合　２－１２－１２</v>
      </c>
      <c r="E901" s="2" t="str">
        <f>"0220-21-1380  "</f>
        <v xml:space="preserve">0220-21-1380  </v>
      </c>
      <c r="F901" s="2" t="s">
        <v>6</v>
      </c>
      <c r="G901" s="2" t="s">
        <v>28</v>
      </c>
    </row>
    <row r="902" spans="1:7" ht="37.5" x14ac:dyDescent="0.4">
      <c r="A902" s="2">
        <v>901</v>
      </c>
      <c r="B902" s="2" t="s">
        <v>1423</v>
      </c>
      <c r="C902" s="2" t="str">
        <f>"987-0511"</f>
        <v>987-0511</v>
      </c>
      <c r="D902" s="2" t="str">
        <f>"登米市迫町佐沼字江合1-8-5"</f>
        <v>登米市迫町佐沼字江合1-8-5</v>
      </c>
      <c r="E902" s="2" t="s">
        <v>7</v>
      </c>
      <c r="F902" s="2" t="s">
        <v>9</v>
      </c>
      <c r="G902" s="2"/>
    </row>
    <row r="903" spans="1:7" ht="37.5" x14ac:dyDescent="0.4">
      <c r="A903" s="2">
        <v>902</v>
      </c>
      <c r="B903" s="2" t="s">
        <v>479</v>
      </c>
      <c r="C903" s="2" t="str">
        <f>"987-0511"</f>
        <v>987-0511</v>
      </c>
      <c r="D903" s="2" t="str">
        <f>"登米市迫町佐沼字江合１丁目８－８"</f>
        <v>登米市迫町佐沼字江合１丁目８－８</v>
      </c>
      <c r="E903" s="2" t="str">
        <f>"0220-21-5660  "</f>
        <v xml:space="preserve">0220-21-5660  </v>
      </c>
      <c r="F903" s="2" t="s">
        <v>6</v>
      </c>
      <c r="G903" s="2" t="s">
        <v>480</v>
      </c>
    </row>
    <row r="904" spans="1:7" ht="37.5" x14ac:dyDescent="0.4">
      <c r="A904" s="2">
        <v>903</v>
      </c>
      <c r="B904" s="2" t="s">
        <v>1406</v>
      </c>
      <c r="C904" s="2" t="str">
        <f>"987-0511"</f>
        <v>987-0511</v>
      </c>
      <c r="D904" s="2" t="str">
        <f>"登米市迫町佐沼字江合２丁目１２－１２"</f>
        <v>登米市迫町佐沼字江合２丁目１２－１２</v>
      </c>
      <c r="E904" s="2" t="str">
        <f>"0220-22-8818  "</f>
        <v xml:space="preserve">0220-22-8818  </v>
      </c>
      <c r="F904" s="2" t="s">
        <v>9</v>
      </c>
      <c r="G904" s="2" t="s">
        <v>1063</v>
      </c>
    </row>
    <row r="905" spans="1:7" ht="37.5" x14ac:dyDescent="0.4">
      <c r="A905" s="2">
        <v>904</v>
      </c>
      <c r="B905" s="2" t="s">
        <v>449</v>
      </c>
      <c r="C905" s="2" t="str">
        <f>"987-0511"</f>
        <v>987-0511</v>
      </c>
      <c r="D905" s="2" t="s">
        <v>450</v>
      </c>
      <c r="E905" s="2" t="str">
        <f>"0220-22-1155  "</f>
        <v xml:space="preserve">0220-22-1155  </v>
      </c>
      <c r="F905" s="2" t="s">
        <v>6</v>
      </c>
      <c r="G905" s="2" t="s">
        <v>451</v>
      </c>
    </row>
    <row r="906" spans="1:7" ht="37.5" x14ac:dyDescent="0.4">
      <c r="A906" s="2">
        <v>905</v>
      </c>
      <c r="B906" s="2" t="s">
        <v>1422</v>
      </c>
      <c r="C906" s="2" t="str">
        <f>"987-0511"</f>
        <v>987-0511</v>
      </c>
      <c r="D906" s="2" t="str">
        <f>"登米市迫町佐沼字小金丁４９－１"</f>
        <v>登米市迫町佐沼字小金丁４９－１</v>
      </c>
      <c r="E906" s="2" t="str">
        <f>"0220-23-2060  "</f>
        <v xml:space="preserve">0220-23-2060  </v>
      </c>
      <c r="F906" s="2" t="s">
        <v>9</v>
      </c>
      <c r="G906" s="2" t="s">
        <v>1063</v>
      </c>
    </row>
    <row r="907" spans="1:7" ht="37.5" x14ac:dyDescent="0.4">
      <c r="A907" s="2">
        <v>906</v>
      </c>
      <c r="B907" s="2" t="s">
        <v>456</v>
      </c>
      <c r="C907" s="2" t="str">
        <f>"987-0511"</f>
        <v>987-0511</v>
      </c>
      <c r="D907" s="2" t="str">
        <f>"登米市迫町佐沼字小金丁５０－２"</f>
        <v>登米市迫町佐沼字小金丁５０－２</v>
      </c>
      <c r="E907" s="2" t="str">
        <f>"0220-22-1510  "</f>
        <v xml:space="preserve">0220-22-1510  </v>
      </c>
      <c r="F907" s="2" t="s">
        <v>6</v>
      </c>
      <c r="G907" s="2" t="s">
        <v>48</v>
      </c>
    </row>
    <row r="908" spans="1:7" ht="37.5" x14ac:dyDescent="0.4">
      <c r="A908" s="2">
        <v>907</v>
      </c>
      <c r="B908" s="2" t="s">
        <v>454</v>
      </c>
      <c r="C908" s="2" t="str">
        <f>"987-0511"</f>
        <v>987-0511</v>
      </c>
      <c r="D908" s="2" t="str">
        <f>"登米市迫町佐沼字大網　２２４－１"</f>
        <v>登米市迫町佐沼字大網　２２４－１</v>
      </c>
      <c r="E908" s="2" t="str">
        <f>"0220-21-5335  "</f>
        <v xml:space="preserve">0220-21-5335  </v>
      </c>
      <c r="F908" s="2" t="s">
        <v>6</v>
      </c>
      <c r="G908" s="2" t="s">
        <v>455</v>
      </c>
    </row>
    <row r="909" spans="1:7" ht="37.5" x14ac:dyDescent="0.4">
      <c r="A909" s="2">
        <v>908</v>
      </c>
      <c r="B909" s="2" t="s">
        <v>1388</v>
      </c>
      <c r="C909" s="2" t="str">
        <f>"987-0511"</f>
        <v>987-0511</v>
      </c>
      <c r="D909" s="2" t="str">
        <f>"登米市迫町佐沼字大網　２２４－６"</f>
        <v>登米市迫町佐沼字大網　２２４－６</v>
      </c>
      <c r="E909" s="2" t="str">
        <f>"0220-21-5771  "</f>
        <v xml:space="preserve">0220-21-5771  </v>
      </c>
      <c r="F909" s="2" t="s">
        <v>9</v>
      </c>
      <c r="G909" s="2" t="s">
        <v>1063</v>
      </c>
    </row>
    <row r="910" spans="1:7" ht="56.25" x14ac:dyDescent="0.4">
      <c r="A910" s="2">
        <v>909</v>
      </c>
      <c r="B910" s="2" t="s">
        <v>1417</v>
      </c>
      <c r="C910" s="2" t="str">
        <f>"987-0511"</f>
        <v>987-0511</v>
      </c>
      <c r="D910" s="2" t="str">
        <f>"登米市迫町佐沼字大網３９０番地１５アルテラスおおあみA－１"</f>
        <v>登米市迫町佐沼字大網３９０番地１５アルテラスおおあみA－１</v>
      </c>
      <c r="E910" s="2" t="str">
        <f>"0220-23-8117  "</f>
        <v xml:space="preserve">0220-23-8117  </v>
      </c>
      <c r="F910" s="2" t="s">
        <v>9</v>
      </c>
      <c r="G910" s="2" t="s">
        <v>1063</v>
      </c>
    </row>
    <row r="911" spans="1:7" ht="37.5" x14ac:dyDescent="0.4">
      <c r="A911" s="2">
        <v>910</v>
      </c>
      <c r="B911" s="2" t="s">
        <v>445</v>
      </c>
      <c r="C911" s="2" t="str">
        <f>"987-0511"</f>
        <v>987-0511</v>
      </c>
      <c r="D911" s="2" t="str">
        <f>"登米市迫町佐沼字中江　３－９－５"</f>
        <v>登米市迫町佐沼字中江　３－９－５</v>
      </c>
      <c r="E911" s="2" t="str">
        <f>"0220-22-2787  "</f>
        <v xml:space="preserve">0220-22-2787  </v>
      </c>
      <c r="F911" s="2" t="s">
        <v>6</v>
      </c>
      <c r="G911" s="2" t="s">
        <v>42</v>
      </c>
    </row>
    <row r="912" spans="1:7" ht="37.5" x14ac:dyDescent="0.4">
      <c r="A912" s="2">
        <v>911</v>
      </c>
      <c r="B912" s="2" t="s">
        <v>983</v>
      </c>
      <c r="C912" s="2" t="str">
        <f>"987-0511"</f>
        <v>987-0511</v>
      </c>
      <c r="D912" s="2" t="s">
        <v>984</v>
      </c>
      <c r="E912" s="2" t="str">
        <f>"0220-22-7767  "</f>
        <v xml:space="preserve">0220-22-7767  </v>
      </c>
      <c r="F912" s="2" t="s">
        <v>6</v>
      </c>
      <c r="G912" s="2" t="s">
        <v>966</v>
      </c>
    </row>
    <row r="913" spans="1:7" ht="37.5" x14ac:dyDescent="0.4">
      <c r="A913" s="2">
        <v>912</v>
      </c>
      <c r="B913" s="2" t="s">
        <v>1386</v>
      </c>
      <c r="C913" s="2" t="str">
        <f>"987-0511"</f>
        <v>987-0511</v>
      </c>
      <c r="D913" s="2" t="s">
        <v>1387</v>
      </c>
      <c r="E913" s="2" t="str">
        <f>"0220-22-9930  "</f>
        <v xml:space="preserve">0220-22-9930  </v>
      </c>
      <c r="F913" s="2" t="s">
        <v>9</v>
      </c>
      <c r="G913" s="2" t="s">
        <v>1063</v>
      </c>
    </row>
    <row r="914" spans="1:7" ht="37.5" x14ac:dyDescent="0.4">
      <c r="A914" s="2">
        <v>913</v>
      </c>
      <c r="B914" s="2" t="s">
        <v>486</v>
      </c>
      <c r="C914" s="2" t="str">
        <f>"987-0511"</f>
        <v>987-0511</v>
      </c>
      <c r="D914" s="2" t="str">
        <f>"登米市迫町佐沼字中江３－７－７"</f>
        <v>登米市迫町佐沼字中江３－７－７</v>
      </c>
      <c r="E914" s="2" t="str">
        <f>"0220-22-6508  "</f>
        <v xml:space="preserve">0220-22-6508  </v>
      </c>
      <c r="F914" s="2" t="s">
        <v>6</v>
      </c>
      <c r="G914" s="2" t="s">
        <v>487</v>
      </c>
    </row>
    <row r="915" spans="1:7" ht="37.5" x14ac:dyDescent="0.4">
      <c r="A915" s="2">
        <v>914</v>
      </c>
      <c r="B915" s="2" t="s">
        <v>1419</v>
      </c>
      <c r="C915" s="2" t="str">
        <f>"987-0511"</f>
        <v>987-0511</v>
      </c>
      <c r="D915" s="2" t="str">
        <f>"登米市迫町佐沼字中江４－６－６"</f>
        <v>登米市迫町佐沼字中江４－６－６</v>
      </c>
      <c r="E915" s="2" t="str">
        <f>"0220-23-7423  "</f>
        <v xml:space="preserve">0220-23-7423  </v>
      </c>
      <c r="F915" s="2" t="s">
        <v>9</v>
      </c>
      <c r="G915" s="2" t="s">
        <v>1063</v>
      </c>
    </row>
    <row r="916" spans="1:7" ht="37.5" x14ac:dyDescent="0.4">
      <c r="A916" s="2">
        <v>915</v>
      </c>
      <c r="B916" s="2" t="s">
        <v>1404</v>
      </c>
      <c r="C916" s="2" t="str">
        <f>"987-0511"</f>
        <v>987-0511</v>
      </c>
      <c r="D916" s="2" t="str">
        <f>"登米市迫町佐沼字天神前８１－４"</f>
        <v>登米市迫町佐沼字天神前８１－４</v>
      </c>
      <c r="E916" s="2" t="str">
        <f>"0220-22-6605  "</f>
        <v xml:space="preserve">0220-22-6605  </v>
      </c>
      <c r="F916" s="2" t="s">
        <v>9</v>
      </c>
      <c r="G916" s="2" t="s">
        <v>1063</v>
      </c>
    </row>
    <row r="917" spans="1:7" ht="37.5" x14ac:dyDescent="0.4">
      <c r="A917" s="2">
        <v>916</v>
      </c>
      <c r="B917" s="2" t="s">
        <v>488</v>
      </c>
      <c r="C917" s="2" t="str">
        <f>"987-0511"</f>
        <v>987-0511</v>
      </c>
      <c r="D917" s="2" t="s">
        <v>329</v>
      </c>
      <c r="E917" s="2" t="str">
        <f>"0220-23-9832  "</f>
        <v xml:space="preserve">0220-23-9832  </v>
      </c>
      <c r="F917" s="2" t="s">
        <v>6</v>
      </c>
      <c r="G917" s="2" t="s">
        <v>489</v>
      </c>
    </row>
    <row r="918" spans="1:7" ht="37.5" x14ac:dyDescent="0.4">
      <c r="A918" s="2">
        <v>917</v>
      </c>
      <c r="B918" s="2" t="s">
        <v>1826</v>
      </c>
      <c r="C918" s="2" t="str">
        <f>"987-0511"</f>
        <v>987-0511</v>
      </c>
      <c r="D918" s="2" t="s">
        <v>666</v>
      </c>
      <c r="E918" s="2" t="str">
        <f>"0220-23-8822  "</f>
        <v xml:space="preserve">0220-23-8822  </v>
      </c>
      <c r="F918" s="2" t="s">
        <v>11</v>
      </c>
      <c r="G918" s="2" t="s">
        <v>1151</v>
      </c>
    </row>
    <row r="919" spans="1:7" ht="37.5" x14ac:dyDescent="0.4">
      <c r="A919" s="2">
        <v>918</v>
      </c>
      <c r="B919" s="2" t="s">
        <v>447</v>
      </c>
      <c r="C919" s="2" t="str">
        <f>"987-0511"</f>
        <v>987-0511</v>
      </c>
      <c r="D919" s="2" t="str">
        <f>"登米市迫町佐沼字南佐沼　１－４－１５"</f>
        <v>登米市迫町佐沼字南佐沼　１－４－１５</v>
      </c>
      <c r="E919" s="2" t="str">
        <f>"0220-22-2177  "</f>
        <v xml:space="preserve">0220-22-2177  </v>
      </c>
      <c r="F919" s="2" t="s">
        <v>6</v>
      </c>
      <c r="G919" s="2" t="s">
        <v>32</v>
      </c>
    </row>
    <row r="920" spans="1:7" ht="37.5" x14ac:dyDescent="0.4">
      <c r="A920" s="2">
        <v>919</v>
      </c>
      <c r="B920" s="2" t="s">
        <v>490</v>
      </c>
      <c r="C920" s="2" t="str">
        <f>"987-0511"</f>
        <v>987-0511</v>
      </c>
      <c r="D920" s="2" t="str">
        <f>"登米市迫町佐沼字萩洗二丁目１－１"</f>
        <v>登米市迫町佐沼字萩洗二丁目１－１</v>
      </c>
      <c r="E920" s="2" t="str">
        <f>"0220-23-8340  "</f>
        <v xml:space="preserve">0220-23-8340  </v>
      </c>
      <c r="F920" s="2" t="s">
        <v>6</v>
      </c>
      <c r="G920" s="2" t="s">
        <v>48</v>
      </c>
    </row>
    <row r="921" spans="1:7" ht="37.5" x14ac:dyDescent="0.4">
      <c r="A921" s="2">
        <v>920</v>
      </c>
      <c r="B921" s="2" t="s">
        <v>1825</v>
      </c>
      <c r="C921" s="2" t="str">
        <f>"987-0511"</f>
        <v>987-0511</v>
      </c>
      <c r="D921" s="2" t="str">
        <f>"登米市迫町佐沼字八幡1丁目8－3"</f>
        <v>登米市迫町佐沼字八幡1丁目8－3</v>
      </c>
      <c r="E921" s="2" t="str">
        <f>"0220-23-7761  "</f>
        <v xml:space="preserve">0220-23-7761  </v>
      </c>
      <c r="F921" s="2" t="s">
        <v>11</v>
      </c>
      <c r="G921" s="2" t="s">
        <v>1151</v>
      </c>
    </row>
    <row r="922" spans="1:7" ht="37.5" x14ac:dyDescent="0.4">
      <c r="A922" s="2">
        <v>921</v>
      </c>
      <c r="B922" s="2" t="s">
        <v>1421</v>
      </c>
      <c r="C922" s="2" t="str">
        <f>"987-0321"</f>
        <v>987-0321</v>
      </c>
      <c r="D922" s="2" t="str">
        <f>"登米市米山町西野字西野前２０１－３"</f>
        <v>登米市米山町西野字西野前２０１－３</v>
      </c>
      <c r="E922" s="2" t="str">
        <f>"0220-23-7508  "</f>
        <v xml:space="preserve">0220-23-7508  </v>
      </c>
      <c r="F922" s="2" t="s">
        <v>9</v>
      </c>
      <c r="G922" s="2" t="s">
        <v>1063</v>
      </c>
    </row>
    <row r="923" spans="1:7" ht="37.5" x14ac:dyDescent="0.4">
      <c r="A923" s="2">
        <v>922</v>
      </c>
      <c r="B923" s="2" t="s">
        <v>485</v>
      </c>
      <c r="C923" s="2" t="str">
        <f>"987-0321"</f>
        <v>987-0321</v>
      </c>
      <c r="D923" s="2" t="str">
        <f>"登米市米山町西野字西野前２０２－１"</f>
        <v>登米市米山町西野字西野前２０２－１</v>
      </c>
      <c r="E923" s="2" t="str">
        <f>"0220-23-7387  "</f>
        <v xml:space="preserve">0220-23-7387  </v>
      </c>
      <c r="F923" s="2" t="s">
        <v>6</v>
      </c>
      <c r="G923" s="2" t="s">
        <v>235</v>
      </c>
    </row>
    <row r="924" spans="1:7" ht="37.5" x14ac:dyDescent="0.4">
      <c r="A924" s="2">
        <v>923</v>
      </c>
      <c r="B924" s="2" t="s">
        <v>987</v>
      </c>
      <c r="C924" s="2" t="str">
        <f>"987-0331"</f>
        <v>987-0331</v>
      </c>
      <c r="D924" s="2" t="s">
        <v>988</v>
      </c>
      <c r="E924" s="2" t="str">
        <f>"0220-55-2755  "</f>
        <v xml:space="preserve">0220-55-2755  </v>
      </c>
      <c r="F924" s="2" t="s">
        <v>6</v>
      </c>
      <c r="G924" s="2" t="s">
        <v>10</v>
      </c>
    </row>
    <row r="925" spans="1:7" x14ac:dyDescent="0.4">
      <c r="A925" s="2">
        <v>924</v>
      </c>
      <c r="B925" s="2" t="s">
        <v>458</v>
      </c>
      <c r="C925" s="2" t="str">
        <f>"987-0363"</f>
        <v>987-0363</v>
      </c>
      <c r="D925" s="2" t="s">
        <v>459</v>
      </c>
      <c r="E925" s="2" t="str">
        <f>"0225-76-3420  "</f>
        <v xml:space="preserve">0225-76-3420  </v>
      </c>
      <c r="F925" s="2" t="s">
        <v>6</v>
      </c>
      <c r="G925" s="2" t="s">
        <v>306</v>
      </c>
    </row>
    <row r="926" spans="1:7" ht="37.5" x14ac:dyDescent="0.4">
      <c r="A926" s="2">
        <v>925</v>
      </c>
      <c r="B926" s="2" t="s">
        <v>1407</v>
      </c>
      <c r="C926" s="2" t="str">
        <f>"987-0362"</f>
        <v>987-0362</v>
      </c>
      <c r="D926" s="2" t="s">
        <v>1408</v>
      </c>
      <c r="E926" s="2" t="str">
        <f>"0225-79-3081  "</f>
        <v xml:space="preserve">0225-79-3081  </v>
      </c>
      <c r="F926" s="2" t="s">
        <v>9</v>
      </c>
      <c r="G926" s="2" t="s">
        <v>1063</v>
      </c>
    </row>
    <row r="927" spans="1:7" ht="37.5" x14ac:dyDescent="0.4">
      <c r="A927" s="2">
        <v>926</v>
      </c>
      <c r="B927" s="2" t="s">
        <v>468</v>
      </c>
      <c r="C927" s="2" t="str">
        <f>"987-0364"</f>
        <v>987-0364</v>
      </c>
      <c r="D927" s="2" t="str">
        <f>"登米市豊里町土手下　７４－１"</f>
        <v>登米市豊里町土手下　７４－１</v>
      </c>
      <c r="E927" s="2" t="str">
        <f>"0225-76-2023  "</f>
        <v xml:space="preserve">0225-76-2023  </v>
      </c>
      <c r="F927" s="2" t="s">
        <v>6</v>
      </c>
      <c r="G927" s="2" t="s">
        <v>469</v>
      </c>
    </row>
    <row r="928" spans="1:7" x14ac:dyDescent="0.4">
      <c r="A928" s="2">
        <v>927</v>
      </c>
      <c r="B928" s="2" t="s">
        <v>1412</v>
      </c>
      <c r="C928" s="2" t="str">
        <f>"987-0364"</f>
        <v>987-0364</v>
      </c>
      <c r="D928" s="2" t="str">
        <f>"登米市豊里町土手下23-2"</f>
        <v>登米市豊里町土手下23-2</v>
      </c>
      <c r="E928" s="2" t="str">
        <f>"0225-79-3931  "</f>
        <v xml:space="preserve">0225-79-3931  </v>
      </c>
      <c r="F928" s="2" t="s">
        <v>9</v>
      </c>
      <c r="G928" s="2" t="s">
        <v>1129</v>
      </c>
    </row>
    <row r="929" spans="1:7" ht="37.5" x14ac:dyDescent="0.4">
      <c r="A929" s="2">
        <v>928</v>
      </c>
      <c r="B929" s="2" t="s">
        <v>1822</v>
      </c>
      <c r="C929" s="2" t="str">
        <f>"987-0364"</f>
        <v>987-0364</v>
      </c>
      <c r="D929" s="2" t="str">
        <f>"登米市豊里町土手下６７－１"</f>
        <v>登米市豊里町土手下６７－１</v>
      </c>
      <c r="E929" s="2" t="str">
        <f>"0225-76-6210  "</f>
        <v xml:space="preserve">0225-76-6210  </v>
      </c>
      <c r="F929" s="2" t="s">
        <v>11</v>
      </c>
      <c r="G929" s="2" t="s">
        <v>1151</v>
      </c>
    </row>
    <row r="930" spans="1:7" ht="37.5" x14ac:dyDescent="0.4">
      <c r="A930" s="2">
        <v>929</v>
      </c>
      <c r="B930" s="2" t="s">
        <v>552</v>
      </c>
      <c r="C930" s="2" t="str">
        <f>"981-0412"</f>
        <v>981-0412</v>
      </c>
      <c r="D930" s="2" t="str">
        <f>"東松島市宮戸字里８１－１８"</f>
        <v>東松島市宮戸字里８１－１８</v>
      </c>
      <c r="E930" s="2" t="str">
        <f>"0225-88-2208  "</f>
        <v xml:space="preserve">0225-88-2208  </v>
      </c>
      <c r="F930" s="2" t="s">
        <v>6</v>
      </c>
      <c r="G930" s="2" t="s">
        <v>553</v>
      </c>
    </row>
    <row r="931" spans="1:7" ht="37.5" x14ac:dyDescent="0.4">
      <c r="A931" s="2">
        <v>930</v>
      </c>
      <c r="B931" s="2" t="s">
        <v>1002</v>
      </c>
      <c r="C931" s="2" t="str">
        <f>"981-0301"</f>
        <v>981-0301</v>
      </c>
      <c r="D931" s="2" t="str">
        <f>"東松島市牛網字駅前１－２－１"</f>
        <v>東松島市牛網字駅前１－２－１</v>
      </c>
      <c r="E931" s="2" t="str">
        <f>"0225-87-2249  "</f>
        <v xml:space="preserve">0225-87-2249  </v>
      </c>
      <c r="F931" s="2" t="s">
        <v>6</v>
      </c>
      <c r="G931" s="2" t="s">
        <v>941</v>
      </c>
    </row>
    <row r="932" spans="1:7" ht="37.5" x14ac:dyDescent="0.4">
      <c r="A932" s="2">
        <v>931</v>
      </c>
      <c r="B932" s="2" t="s">
        <v>1485</v>
      </c>
      <c r="C932" s="2" t="str">
        <f>"981-0301"</f>
        <v>981-0301</v>
      </c>
      <c r="D932" s="2" t="str">
        <f>"東松島市牛網字新上江戸原２７－２"</f>
        <v>東松島市牛網字新上江戸原２７－２</v>
      </c>
      <c r="E932" s="2" t="str">
        <f>"0225-86-1251  "</f>
        <v xml:space="preserve">0225-86-1251  </v>
      </c>
      <c r="F932" s="2" t="s">
        <v>9</v>
      </c>
      <c r="G932" s="2" t="s">
        <v>1063</v>
      </c>
    </row>
    <row r="933" spans="1:7" ht="37.5" x14ac:dyDescent="0.4">
      <c r="A933" s="2">
        <v>932</v>
      </c>
      <c r="B933" s="2" t="s">
        <v>1474</v>
      </c>
      <c r="C933" s="2" t="str">
        <f>"981-0504"</f>
        <v>981-0504</v>
      </c>
      <c r="D933" s="2" t="str">
        <f>"東松島市小松字若葉７－１２"</f>
        <v>東松島市小松字若葉７－１２</v>
      </c>
      <c r="E933" s="2" t="str">
        <f>"0225-82-3943  "</f>
        <v xml:space="preserve">0225-82-3943  </v>
      </c>
      <c r="F933" s="2" t="s">
        <v>9</v>
      </c>
      <c r="G933" s="2" t="s">
        <v>1063</v>
      </c>
    </row>
    <row r="934" spans="1:7" ht="37.5" x14ac:dyDescent="0.4">
      <c r="A934" s="2">
        <v>933</v>
      </c>
      <c r="B934" s="2" t="s">
        <v>1000</v>
      </c>
      <c r="C934" s="2" t="str">
        <f>"981-0504"</f>
        <v>981-0504</v>
      </c>
      <c r="D934" s="2" t="s">
        <v>1001</v>
      </c>
      <c r="E934" s="2" t="str">
        <f>"0225-82-6211  "</f>
        <v xml:space="preserve">0225-82-6211  </v>
      </c>
      <c r="F934" s="2" t="s">
        <v>6</v>
      </c>
      <c r="G934" s="2" t="s">
        <v>902</v>
      </c>
    </row>
    <row r="935" spans="1:7" ht="37.5" x14ac:dyDescent="0.4">
      <c r="A935" s="2">
        <v>934</v>
      </c>
      <c r="B935" s="2" t="s">
        <v>1481</v>
      </c>
      <c r="C935" s="2">
        <v>9810504</v>
      </c>
      <c r="D935" s="2" t="s">
        <v>1482</v>
      </c>
      <c r="E935" s="2" t="str">
        <f>"0225-82-1268  "</f>
        <v xml:space="preserve">0225-82-1268  </v>
      </c>
      <c r="F935" s="2" t="s">
        <v>9</v>
      </c>
      <c r="G935" s="2" t="s">
        <v>1129</v>
      </c>
    </row>
    <row r="936" spans="1:7" ht="37.5" x14ac:dyDescent="0.4">
      <c r="A936" s="2">
        <v>935</v>
      </c>
      <c r="B936" s="2" t="s">
        <v>564</v>
      </c>
      <c r="C936" s="2" t="str">
        <f>"981-0501"</f>
        <v>981-0501</v>
      </c>
      <c r="D936" s="2" t="str">
        <f>"東松島市赤井字川前４－１－６"</f>
        <v>東松島市赤井字川前４－１－６</v>
      </c>
      <c r="E936" s="2" t="str">
        <f>"0225-98-8617  "</f>
        <v xml:space="preserve">0225-98-8617  </v>
      </c>
      <c r="F936" s="2" t="s">
        <v>6</v>
      </c>
      <c r="G936" s="2" t="s">
        <v>565</v>
      </c>
    </row>
    <row r="937" spans="1:7" ht="37.5" x14ac:dyDescent="0.4">
      <c r="A937" s="2">
        <v>936</v>
      </c>
      <c r="B937" s="2" t="s">
        <v>1483</v>
      </c>
      <c r="C937" s="2" t="str">
        <f>"981-0501"</f>
        <v>981-0501</v>
      </c>
      <c r="D937" s="2" t="s">
        <v>1484</v>
      </c>
      <c r="E937" s="2" t="str">
        <f>"0225-98-5077  "</f>
        <v xml:space="preserve">0225-98-5077  </v>
      </c>
      <c r="F937" s="2" t="s">
        <v>9</v>
      </c>
      <c r="G937" s="2" t="s">
        <v>1129</v>
      </c>
    </row>
    <row r="938" spans="1:7" ht="37.5" x14ac:dyDescent="0.4">
      <c r="A938" s="2">
        <v>937</v>
      </c>
      <c r="B938" s="2" t="s">
        <v>556</v>
      </c>
      <c r="C938" s="2" t="str">
        <f>"981-0501"</f>
        <v>981-0501</v>
      </c>
      <c r="D938" s="2" t="str">
        <f>"東松島市赤井字川前一９－１"</f>
        <v>東松島市赤井字川前一９－１</v>
      </c>
      <c r="E938" s="2" t="str">
        <f>"0225-82-6680  "</f>
        <v xml:space="preserve">0225-82-6680  </v>
      </c>
      <c r="F938" s="2" t="s">
        <v>6</v>
      </c>
      <c r="G938" s="2" t="s">
        <v>557</v>
      </c>
    </row>
    <row r="939" spans="1:7" x14ac:dyDescent="0.4">
      <c r="A939" s="2">
        <v>938</v>
      </c>
      <c r="B939" s="2" t="s">
        <v>1489</v>
      </c>
      <c r="C939" s="2" t="str">
        <f>"981-0501"</f>
        <v>981-0501</v>
      </c>
      <c r="D939" s="2" t="str">
        <f>"東松島市赤井字川前一9-3"</f>
        <v>東松島市赤井字川前一9-3</v>
      </c>
      <c r="E939" s="2" t="s">
        <v>7</v>
      </c>
      <c r="F939" s="2" t="s">
        <v>9</v>
      </c>
      <c r="G939" s="2"/>
    </row>
    <row r="940" spans="1:7" ht="37.5" x14ac:dyDescent="0.4">
      <c r="A940" s="2">
        <v>939</v>
      </c>
      <c r="B940" s="2" t="s">
        <v>1472</v>
      </c>
      <c r="C940" s="2" t="str">
        <f>"981-0501"</f>
        <v>981-0501</v>
      </c>
      <c r="D940" s="2" t="str">
        <f>"東松島市赤井字台５３－１"</f>
        <v>東松島市赤井字台５３－１</v>
      </c>
      <c r="E940" s="2" t="str">
        <f>"0225-83-7806  "</f>
        <v xml:space="preserve">0225-83-7806  </v>
      </c>
      <c r="F940" s="2" t="s">
        <v>9</v>
      </c>
      <c r="G940" s="2" t="s">
        <v>1063</v>
      </c>
    </row>
    <row r="941" spans="1:7" ht="37.5" x14ac:dyDescent="0.4">
      <c r="A941" s="2">
        <v>940</v>
      </c>
      <c r="B941" s="2" t="s">
        <v>1473</v>
      </c>
      <c r="C941" s="2" t="str">
        <f>"981-0501"</f>
        <v>981-0501</v>
      </c>
      <c r="D941" s="2" t="str">
        <f>"東松島市赤井字台５３－４"</f>
        <v>東松島市赤井字台５３－４</v>
      </c>
      <c r="E941" s="2" t="str">
        <f>"0225-24-9730  "</f>
        <v xml:space="preserve">0225-24-9730  </v>
      </c>
      <c r="F941" s="2" t="s">
        <v>9</v>
      </c>
      <c r="G941" s="2" t="s">
        <v>1063</v>
      </c>
    </row>
    <row r="942" spans="1:7" ht="37.5" x14ac:dyDescent="0.4">
      <c r="A942" s="2">
        <v>941</v>
      </c>
      <c r="B942" s="2" t="s">
        <v>554</v>
      </c>
      <c r="C942" s="2" t="str">
        <f>"981-0501"</f>
        <v>981-0501</v>
      </c>
      <c r="D942" s="2" t="str">
        <f>"東松島市赤井字台５３－７"</f>
        <v>東松島市赤井字台５３－７</v>
      </c>
      <c r="E942" s="2" t="str">
        <f>"0225-83-2111  "</f>
        <v xml:space="preserve">0225-83-2111  </v>
      </c>
      <c r="F942" s="2" t="s">
        <v>6</v>
      </c>
      <c r="G942" s="2" t="s">
        <v>555</v>
      </c>
    </row>
    <row r="943" spans="1:7" ht="37.5" x14ac:dyDescent="0.4">
      <c r="A943" s="2">
        <v>942</v>
      </c>
      <c r="B943" s="2" t="s">
        <v>551</v>
      </c>
      <c r="C943" s="2" t="str">
        <f>"981-0501"</f>
        <v>981-0501</v>
      </c>
      <c r="D943" s="2" t="s">
        <v>568</v>
      </c>
      <c r="E943" s="2" t="str">
        <f>"0225-84-2323  "</f>
        <v xml:space="preserve">0225-84-2323  </v>
      </c>
      <c r="F943" s="2" t="s">
        <v>6</v>
      </c>
      <c r="G943" s="2" t="s">
        <v>18</v>
      </c>
    </row>
    <row r="944" spans="1:7" ht="37.5" x14ac:dyDescent="0.4">
      <c r="A944" s="2">
        <v>943</v>
      </c>
      <c r="B944" s="2" t="s">
        <v>1488</v>
      </c>
      <c r="C944" s="2" t="str">
        <f>"981-0501"</f>
        <v>981-0501</v>
      </c>
      <c r="D944" s="2" t="str">
        <f>"東松島市赤井字八反谷地103-1"</f>
        <v>東松島市赤井字八反谷地103-1</v>
      </c>
      <c r="E944" s="2" t="s">
        <v>7</v>
      </c>
      <c r="F944" s="2" t="s">
        <v>9</v>
      </c>
      <c r="G944" s="2"/>
    </row>
    <row r="945" spans="1:7" ht="37.5" x14ac:dyDescent="0.4">
      <c r="A945" s="2">
        <v>944</v>
      </c>
      <c r="B945" s="2" t="s">
        <v>549</v>
      </c>
      <c r="C945" s="2" t="str">
        <f>"981-0501"</f>
        <v>981-0501</v>
      </c>
      <c r="D945" s="2" t="str">
        <f>"東松島市赤井字八反谷地132-6"</f>
        <v>東松島市赤井字八反谷地132-6</v>
      </c>
      <c r="E945" s="2" t="str">
        <f>"0225-84-2868  "</f>
        <v xml:space="preserve">0225-84-2868  </v>
      </c>
      <c r="F945" s="2" t="s">
        <v>6</v>
      </c>
      <c r="G945" s="2" t="s">
        <v>550</v>
      </c>
    </row>
    <row r="946" spans="1:7" ht="37.5" x14ac:dyDescent="0.4">
      <c r="A946" s="2">
        <v>945</v>
      </c>
      <c r="B946" s="2" t="s">
        <v>559</v>
      </c>
      <c r="C946" s="2" t="str">
        <f>"981-0501"</f>
        <v>981-0501</v>
      </c>
      <c r="D946" s="2" t="s">
        <v>560</v>
      </c>
      <c r="E946" s="2" t="str">
        <f>"0225-82-1310  "</f>
        <v xml:space="preserve">0225-82-1310  </v>
      </c>
      <c r="F946" s="2" t="s">
        <v>6</v>
      </c>
      <c r="G946" s="2" t="s">
        <v>561</v>
      </c>
    </row>
    <row r="947" spans="1:7" ht="37.5" x14ac:dyDescent="0.4">
      <c r="A947" s="2">
        <v>946</v>
      </c>
      <c r="B947" s="2" t="s">
        <v>1468</v>
      </c>
      <c r="C947" s="2" t="str">
        <f>"981-0501"</f>
        <v>981-0501</v>
      </c>
      <c r="D947" s="2" t="s">
        <v>1469</v>
      </c>
      <c r="E947" s="2" t="str">
        <f>"0225-83-5466  "</f>
        <v xml:space="preserve">0225-83-5466  </v>
      </c>
      <c r="F947" s="2" t="s">
        <v>9</v>
      </c>
      <c r="G947" s="2" t="s">
        <v>1063</v>
      </c>
    </row>
    <row r="948" spans="1:7" ht="37.5" x14ac:dyDescent="0.4">
      <c r="A948" s="2">
        <v>947</v>
      </c>
      <c r="B948" s="2" t="s">
        <v>999</v>
      </c>
      <c r="C948" s="2" t="str">
        <f>"981-0502"</f>
        <v>981-0502</v>
      </c>
      <c r="D948" s="2" t="str">
        <f>"東松島市大曲字寺前３６－４"</f>
        <v>東松島市大曲字寺前３６－４</v>
      </c>
      <c r="E948" s="2" t="str">
        <f>"0225-84-1252  "</f>
        <v xml:space="preserve">0225-84-1252  </v>
      </c>
      <c r="F948" s="2" t="s">
        <v>6</v>
      </c>
      <c r="G948" s="2" t="s">
        <v>902</v>
      </c>
    </row>
    <row r="949" spans="1:7" ht="37.5" x14ac:dyDescent="0.4">
      <c r="A949" s="2">
        <v>948</v>
      </c>
      <c r="B949" s="2" t="s">
        <v>1478</v>
      </c>
      <c r="C949" s="2" t="str">
        <f>"981-0416"</f>
        <v>981-0416</v>
      </c>
      <c r="D949" s="2" t="str">
        <f>"東松島市野蒜ケ丘２丁目３７－２"</f>
        <v>東松島市野蒜ケ丘２丁目３７－２</v>
      </c>
      <c r="E949" s="2" t="str">
        <f>"0225-86-2511  "</f>
        <v xml:space="preserve">0225-86-2511  </v>
      </c>
      <c r="F949" s="2" t="s">
        <v>9</v>
      </c>
      <c r="G949" s="2" t="s">
        <v>1063</v>
      </c>
    </row>
    <row r="950" spans="1:7" ht="37.5" x14ac:dyDescent="0.4">
      <c r="A950" s="2">
        <v>949</v>
      </c>
      <c r="B950" s="2" t="s">
        <v>562</v>
      </c>
      <c r="C950" s="2" t="str">
        <f>"981-0416"</f>
        <v>981-0416</v>
      </c>
      <c r="D950" s="2" t="str">
        <f>"東松島市野蒜ヶ丘三丁目２９-５"</f>
        <v>東松島市野蒜ヶ丘三丁目２９-５</v>
      </c>
      <c r="E950" s="2" t="str">
        <f>"0225-98-6662  "</f>
        <v xml:space="preserve">0225-98-6662  </v>
      </c>
      <c r="F950" s="2" t="s">
        <v>6</v>
      </c>
      <c r="G950" s="2" t="s">
        <v>544</v>
      </c>
    </row>
    <row r="951" spans="1:7" ht="37.5" x14ac:dyDescent="0.4">
      <c r="A951" s="2">
        <v>950</v>
      </c>
      <c r="B951" s="2" t="s">
        <v>1479</v>
      </c>
      <c r="C951" s="2" t="str">
        <f>"981-0416"</f>
        <v>981-0416</v>
      </c>
      <c r="D951" s="2" t="s">
        <v>1480</v>
      </c>
      <c r="E951" s="2" t="str">
        <f>"0225-86-2520  "</f>
        <v xml:space="preserve">0225-86-2520  </v>
      </c>
      <c r="F951" s="2" t="s">
        <v>9</v>
      </c>
      <c r="G951" s="2" t="s">
        <v>1129</v>
      </c>
    </row>
    <row r="952" spans="1:7" ht="37.5" x14ac:dyDescent="0.4">
      <c r="A952" s="2">
        <v>951</v>
      </c>
      <c r="B952" s="2" t="s">
        <v>1168</v>
      </c>
      <c r="C952" s="2" t="str">
        <f>"981-0503"</f>
        <v>981-0503</v>
      </c>
      <c r="D952" s="2" t="s">
        <v>1470</v>
      </c>
      <c r="E952" s="2" t="str">
        <f>"0225-84-2230  "</f>
        <v xml:space="preserve">0225-84-2230  </v>
      </c>
      <c r="F952" s="2" t="s">
        <v>9</v>
      </c>
      <c r="G952" s="2" t="s">
        <v>1063</v>
      </c>
    </row>
    <row r="953" spans="1:7" ht="75" x14ac:dyDescent="0.4">
      <c r="A953" s="2">
        <v>952</v>
      </c>
      <c r="B953" s="2" t="s">
        <v>547</v>
      </c>
      <c r="C953" s="2" t="str">
        <f>"981-0503"</f>
        <v>981-0503</v>
      </c>
      <c r="D953" s="2" t="str">
        <f>"東松島市矢本字鹿石前１０９－４"</f>
        <v>東松島市矢本字鹿石前１０９－４</v>
      </c>
      <c r="E953" s="2" t="str">
        <f>"0225-82-7111  "</f>
        <v xml:space="preserve">0225-82-7111  </v>
      </c>
      <c r="F953" s="2" t="s">
        <v>6</v>
      </c>
      <c r="G953" s="2" t="s">
        <v>548</v>
      </c>
    </row>
    <row r="954" spans="1:7" ht="37.5" x14ac:dyDescent="0.4">
      <c r="A954" s="2">
        <v>953</v>
      </c>
      <c r="B954" s="2" t="s">
        <v>1471</v>
      </c>
      <c r="C954" s="2" t="str">
        <f>"981-0503"</f>
        <v>981-0503</v>
      </c>
      <c r="D954" s="2" t="str">
        <f>"東松島市矢本字上河戸　２９３－７"</f>
        <v>東松島市矢本字上河戸　２９３－７</v>
      </c>
      <c r="E954" s="2" t="str">
        <f>"0225-84-2711  "</f>
        <v xml:space="preserve">0225-84-2711  </v>
      </c>
      <c r="F954" s="2" t="s">
        <v>9</v>
      </c>
      <c r="G954" s="2" t="s">
        <v>1063</v>
      </c>
    </row>
    <row r="955" spans="1:7" ht="37.5" x14ac:dyDescent="0.4">
      <c r="A955" s="2">
        <v>954</v>
      </c>
      <c r="B955" s="2" t="s">
        <v>1475</v>
      </c>
      <c r="C955" s="2" t="str">
        <f>"981-0503"</f>
        <v>981-0503</v>
      </c>
      <c r="D955" s="2" t="str">
        <f>"東松島市矢本字上河戸７７－１"</f>
        <v>東松島市矢本字上河戸７７－１</v>
      </c>
      <c r="E955" s="2" t="str">
        <f>"0225-84-1611  "</f>
        <v xml:space="preserve">0225-84-1611  </v>
      </c>
      <c r="F955" s="2" t="s">
        <v>9</v>
      </c>
      <c r="G955" s="2" t="s">
        <v>1063</v>
      </c>
    </row>
    <row r="956" spans="1:7" ht="37.5" x14ac:dyDescent="0.4">
      <c r="A956" s="2">
        <v>955</v>
      </c>
      <c r="B956" s="2" t="s">
        <v>998</v>
      </c>
      <c r="C956" s="2" t="str">
        <f>"981-0503"</f>
        <v>981-0503</v>
      </c>
      <c r="D956" s="2" t="str">
        <f>"東松島市矢本字新沼２０３－２"</f>
        <v>東松島市矢本字新沼２０３－２</v>
      </c>
      <c r="E956" s="2" t="str">
        <f>"0225-82-3140  "</f>
        <v xml:space="preserve">0225-82-3140  </v>
      </c>
      <c r="F956" s="2" t="s">
        <v>6</v>
      </c>
      <c r="G956" s="2" t="s">
        <v>966</v>
      </c>
    </row>
    <row r="957" spans="1:7" ht="37.5" x14ac:dyDescent="0.4">
      <c r="A957" s="2">
        <v>956</v>
      </c>
      <c r="B957" s="2" t="s">
        <v>370</v>
      </c>
      <c r="C957" s="2" t="str">
        <f>"981-0503"</f>
        <v>981-0503</v>
      </c>
      <c r="D957" s="2" t="str">
        <f>"東松島市矢本字大溜２５－１"</f>
        <v>東松島市矢本字大溜２５－１</v>
      </c>
      <c r="E957" s="2" t="str">
        <f>"0225-83-2121  "</f>
        <v xml:space="preserve">0225-83-2121  </v>
      </c>
      <c r="F957" s="2" t="s">
        <v>6</v>
      </c>
      <c r="G957" s="2" t="s">
        <v>204</v>
      </c>
    </row>
    <row r="958" spans="1:7" ht="37.5" x14ac:dyDescent="0.4">
      <c r="A958" s="2">
        <v>957</v>
      </c>
      <c r="B958" s="2" t="s">
        <v>1476</v>
      </c>
      <c r="C958" s="2" t="str">
        <f>"981-0503"</f>
        <v>981-0503</v>
      </c>
      <c r="D958" s="2" t="str">
        <f>"東松島市矢本字大溜３１－１"</f>
        <v>東松島市矢本字大溜３１－１</v>
      </c>
      <c r="E958" s="2" t="str">
        <f>"0225-83-5077  "</f>
        <v xml:space="preserve">0225-83-5077  </v>
      </c>
      <c r="F958" s="2" t="s">
        <v>9</v>
      </c>
      <c r="G958" s="2" t="s">
        <v>1063</v>
      </c>
    </row>
    <row r="959" spans="1:7" ht="37.5" x14ac:dyDescent="0.4">
      <c r="A959" s="2">
        <v>958</v>
      </c>
      <c r="B959" s="2" t="s">
        <v>1477</v>
      </c>
      <c r="C959" s="2" t="str">
        <f>"981-0503"</f>
        <v>981-0503</v>
      </c>
      <c r="D959" s="2" t="str">
        <f>"東松島市矢本字大溜３２－１"</f>
        <v>東松島市矢本字大溜３２－１</v>
      </c>
      <c r="E959" s="2" t="str">
        <f>"0225-90-3908  "</f>
        <v xml:space="preserve">0225-90-3908  </v>
      </c>
      <c r="F959" s="2" t="s">
        <v>9</v>
      </c>
      <c r="G959" s="2" t="s">
        <v>1063</v>
      </c>
    </row>
    <row r="960" spans="1:7" x14ac:dyDescent="0.4">
      <c r="A960" s="2">
        <v>959</v>
      </c>
      <c r="B960" s="2" t="s">
        <v>558</v>
      </c>
      <c r="C960" s="2" t="str">
        <f>"981-0503"</f>
        <v>981-0503</v>
      </c>
      <c r="D960" s="2" t="s">
        <v>563</v>
      </c>
      <c r="E960" s="2" t="str">
        <f>"0225-98-3260  "</f>
        <v xml:space="preserve">0225-98-3260  </v>
      </c>
      <c r="F960" s="2" t="s">
        <v>6</v>
      </c>
      <c r="G960" s="2" t="s">
        <v>281</v>
      </c>
    </row>
    <row r="961" spans="1:7" ht="37.5" x14ac:dyDescent="0.4">
      <c r="A961" s="2">
        <v>960</v>
      </c>
      <c r="B961" s="2" t="s">
        <v>1486</v>
      </c>
      <c r="C961" s="2" t="str">
        <f>"981-0503"</f>
        <v>981-0503</v>
      </c>
      <c r="D961" s="2" t="s">
        <v>1487</v>
      </c>
      <c r="E961" s="2" t="str">
        <f>"0225-90-4970  "</f>
        <v xml:space="preserve">0225-90-4970  </v>
      </c>
      <c r="F961" s="2" t="s">
        <v>9</v>
      </c>
      <c r="G961" s="2" t="s">
        <v>1063</v>
      </c>
    </row>
    <row r="962" spans="1:7" ht="37.5" x14ac:dyDescent="0.4">
      <c r="A962" s="2">
        <v>961</v>
      </c>
      <c r="B962" s="2" t="s">
        <v>545</v>
      </c>
      <c r="C962" s="2" t="str">
        <f>"981-0503"</f>
        <v>981-0503</v>
      </c>
      <c r="D962" s="2" t="s">
        <v>546</v>
      </c>
      <c r="E962" s="2" t="str">
        <f>"0225-83-7070  "</f>
        <v xml:space="preserve">0225-83-7070  </v>
      </c>
      <c r="F962" s="2" t="s">
        <v>6</v>
      </c>
      <c r="G962" s="2" t="s">
        <v>50</v>
      </c>
    </row>
    <row r="963" spans="1:7" ht="37.5" x14ac:dyDescent="0.4">
      <c r="A963" s="2">
        <v>962</v>
      </c>
      <c r="B963" s="2" t="s">
        <v>1466</v>
      </c>
      <c r="C963" s="2" t="str">
        <f>"981-0503"</f>
        <v>981-0503</v>
      </c>
      <c r="D963" s="2" t="s">
        <v>1467</v>
      </c>
      <c r="E963" s="2" t="str">
        <f>"0225-83-8075  "</f>
        <v xml:space="preserve">0225-83-8075  </v>
      </c>
      <c r="F963" s="2" t="s">
        <v>9</v>
      </c>
      <c r="G963" s="2" t="s">
        <v>1063</v>
      </c>
    </row>
    <row r="964" spans="1:7" x14ac:dyDescent="0.4">
      <c r="A964" s="2">
        <v>963</v>
      </c>
      <c r="B964" s="2" t="s">
        <v>566</v>
      </c>
      <c r="C964" s="2" t="str">
        <f>"981-0503"</f>
        <v>981-0503</v>
      </c>
      <c r="D964" s="2" t="s">
        <v>567</v>
      </c>
      <c r="E964" s="2" t="str">
        <f>"0225-25-7448  "</f>
        <v xml:space="preserve">0225-25-7448  </v>
      </c>
      <c r="F964" s="2" t="s">
        <v>6</v>
      </c>
      <c r="G964" s="2" t="s">
        <v>48</v>
      </c>
    </row>
    <row r="965" spans="1:7" ht="37.5" x14ac:dyDescent="0.4">
      <c r="A965" s="2">
        <v>964</v>
      </c>
      <c r="B965" s="2" t="s">
        <v>1762</v>
      </c>
      <c r="C965" s="2" t="str">
        <f>"986-0725"</f>
        <v>986-0725</v>
      </c>
      <c r="D965" s="2" t="str">
        <f>"南三陸町志津川字沼田100-45"</f>
        <v>南三陸町志津川字沼田100-45</v>
      </c>
      <c r="E965" s="2" t="str">
        <f>"0226-46-6659  "</f>
        <v xml:space="preserve">0226-46-6659  </v>
      </c>
      <c r="F965" s="2" t="s">
        <v>9</v>
      </c>
      <c r="G965" s="2" t="s">
        <v>1129</v>
      </c>
    </row>
    <row r="966" spans="1:7" ht="37.5" x14ac:dyDescent="0.4">
      <c r="A966" s="2">
        <v>965</v>
      </c>
      <c r="B966" s="2" t="s">
        <v>222</v>
      </c>
      <c r="C966" s="2" t="str">
        <f>"989-0223"</f>
        <v>989-0223</v>
      </c>
      <c r="D966" s="2" t="str">
        <f>"白石市旭町　２－９－１７"</f>
        <v>白石市旭町　２－９－１７</v>
      </c>
      <c r="E966" s="2" t="str">
        <f>"0224-25-1616  "</f>
        <v xml:space="preserve">0224-25-1616  </v>
      </c>
      <c r="F966" s="2" t="s">
        <v>6</v>
      </c>
      <c r="G966" s="2" t="s">
        <v>18</v>
      </c>
    </row>
    <row r="967" spans="1:7" x14ac:dyDescent="0.4">
      <c r="A967" s="2">
        <v>966</v>
      </c>
      <c r="B967" s="2" t="s">
        <v>1240</v>
      </c>
      <c r="C967" s="2" t="str">
        <f>"989-0223"</f>
        <v>989-0223</v>
      </c>
      <c r="D967" s="2" t="str">
        <f>"白石市旭町　３－２－１"</f>
        <v>白石市旭町　３－２－１</v>
      </c>
      <c r="E967" s="2" t="str">
        <f>"0224-22-5040  "</f>
        <v xml:space="preserve">0224-22-5040  </v>
      </c>
      <c r="F967" s="2" t="s">
        <v>9</v>
      </c>
      <c r="G967" s="2" t="s">
        <v>1063</v>
      </c>
    </row>
    <row r="968" spans="1:7" ht="37.5" x14ac:dyDescent="0.4">
      <c r="A968" s="2">
        <v>967</v>
      </c>
      <c r="B968" s="2" t="s">
        <v>1791</v>
      </c>
      <c r="C968" s="2" t="str">
        <f>"989-0223"</f>
        <v>989-0223</v>
      </c>
      <c r="D968" s="2" t="str">
        <f>"白石市旭町１丁目８－４０－３"</f>
        <v>白石市旭町１丁目８－４０－３</v>
      </c>
      <c r="E968" s="2" t="str">
        <f>"0224-26-6855  "</f>
        <v xml:space="preserve">0224-26-6855  </v>
      </c>
      <c r="F968" s="2" t="s">
        <v>11</v>
      </c>
      <c r="G968" s="2" t="s">
        <v>1151</v>
      </c>
    </row>
    <row r="969" spans="1:7" ht="37.5" x14ac:dyDescent="0.4">
      <c r="A969" s="2">
        <v>968</v>
      </c>
      <c r="B969" s="2" t="s">
        <v>244</v>
      </c>
      <c r="C969" s="2" t="str">
        <f>"989-0223"</f>
        <v>989-0223</v>
      </c>
      <c r="D969" s="2" t="s">
        <v>245</v>
      </c>
      <c r="E969" s="2" t="str">
        <f>"0224-26-8020  "</f>
        <v xml:space="preserve">0224-26-8020  </v>
      </c>
      <c r="F969" s="2" t="s">
        <v>6</v>
      </c>
      <c r="G969" s="2" t="s">
        <v>38</v>
      </c>
    </row>
    <row r="970" spans="1:7" ht="37.5" x14ac:dyDescent="0.4">
      <c r="A970" s="2">
        <v>969</v>
      </c>
      <c r="B970" s="2" t="s">
        <v>1231</v>
      </c>
      <c r="C970" s="2" t="str">
        <f>"989-0267"</f>
        <v>989-0267</v>
      </c>
      <c r="D970" s="2" t="s">
        <v>1232</v>
      </c>
      <c r="E970" s="2" t="str">
        <f>"0224-25-4411  "</f>
        <v xml:space="preserve">0224-25-4411  </v>
      </c>
      <c r="F970" s="2" t="s">
        <v>9</v>
      </c>
      <c r="G970" s="2" t="s">
        <v>1063</v>
      </c>
    </row>
    <row r="971" spans="1:7" x14ac:dyDescent="0.4">
      <c r="A971" s="2">
        <v>970</v>
      </c>
      <c r="B971" s="2" t="s">
        <v>223</v>
      </c>
      <c r="C971" s="2" t="str">
        <f>"989-0267"</f>
        <v>989-0267</v>
      </c>
      <c r="D971" s="2" t="s">
        <v>224</v>
      </c>
      <c r="E971" s="2" t="str">
        <f>"0224-24-2333  "</f>
        <v xml:space="preserve">0224-24-2333  </v>
      </c>
      <c r="F971" s="2" t="s">
        <v>6</v>
      </c>
      <c r="G971" s="2" t="s">
        <v>182</v>
      </c>
    </row>
    <row r="972" spans="1:7" ht="37.5" x14ac:dyDescent="0.4">
      <c r="A972" s="2">
        <v>971</v>
      </c>
      <c r="B972" s="2" t="s">
        <v>233</v>
      </c>
      <c r="C972" s="2" t="str">
        <f>"989-0272"</f>
        <v>989-0272</v>
      </c>
      <c r="D972" s="2" t="s">
        <v>234</v>
      </c>
      <c r="E972" s="2" t="str">
        <f>"0224-25-1181  "</f>
        <v xml:space="preserve">0224-25-1181  </v>
      </c>
      <c r="F972" s="2" t="s">
        <v>6</v>
      </c>
      <c r="G972" s="2" t="s">
        <v>235</v>
      </c>
    </row>
    <row r="973" spans="1:7" x14ac:dyDescent="0.4">
      <c r="A973" s="2">
        <v>972</v>
      </c>
      <c r="B973" s="2" t="s">
        <v>1225</v>
      </c>
      <c r="C973" s="2" t="str">
        <f>"989-0243"</f>
        <v>989-0243</v>
      </c>
      <c r="D973" s="2" t="s">
        <v>1226</v>
      </c>
      <c r="E973" s="2" t="str">
        <f>"0224-25-5105  "</f>
        <v xml:space="preserve">0224-25-5105  </v>
      </c>
      <c r="F973" s="2" t="s">
        <v>9</v>
      </c>
      <c r="G973" s="2" t="s">
        <v>1063</v>
      </c>
    </row>
    <row r="974" spans="1:7" ht="37.5" x14ac:dyDescent="0.4">
      <c r="A974" s="2">
        <v>973</v>
      </c>
      <c r="B974" s="2" t="s">
        <v>1245</v>
      </c>
      <c r="C974" s="2" t="str">
        <f>"989-0229"</f>
        <v>989-0229</v>
      </c>
      <c r="D974" s="2" t="str">
        <f>"白石市字銚子ケ森１０－４３"</f>
        <v>白石市字銚子ケ森１０－４３</v>
      </c>
      <c r="E974" s="2" t="str">
        <f>"0224-24-3355  "</f>
        <v xml:space="preserve">0224-24-3355  </v>
      </c>
      <c r="F974" s="2" t="s">
        <v>9</v>
      </c>
      <c r="G974" s="2" t="s">
        <v>1063</v>
      </c>
    </row>
    <row r="975" spans="1:7" x14ac:dyDescent="0.4">
      <c r="A975" s="2">
        <v>974</v>
      </c>
      <c r="B975" s="2" t="s">
        <v>1238</v>
      </c>
      <c r="C975" s="2" t="str">
        <f>"989-0274"</f>
        <v>989-0274</v>
      </c>
      <c r="D975" s="2" t="s">
        <v>1239</v>
      </c>
      <c r="E975" s="2" t="str">
        <f>"0224-26-2593  "</f>
        <v xml:space="preserve">0224-26-2593  </v>
      </c>
      <c r="F975" s="2" t="s">
        <v>9</v>
      </c>
      <c r="G975" s="2" t="s">
        <v>1063</v>
      </c>
    </row>
    <row r="976" spans="1:7" x14ac:dyDescent="0.4">
      <c r="A976" s="2">
        <v>975</v>
      </c>
      <c r="B976" s="2" t="s">
        <v>1233</v>
      </c>
      <c r="C976" s="2" t="str">
        <f>"989-0274"</f>
        <v>989-0274</v>
      </c>
      <c r="D976" s="2" t="s">
        <v>1234</v>
      </c>
      <c r="E976" s="2" t="str">
        <f>"0224-24-2119  "</f>
        <v xml:space="preserve">0224-24-2119  </v>
      </c>
      <c r="F976" s="2" t="s">
        <v>9</v>
      </c>
      <c r="G976" s="2" t="s">
        <v>1063</v>
      </c>
    </row>
    <row r="977" spans="1:7" x14ac:dyDescent="0.4">
      <c r="A977" s="2">
        <v>976</v>
      </c>
      <c r="B977" s="2" t="s">
        <v>1248</v>
      </c>
      <c r="C977" s="2" t="str">
        <f>"989-0228"</f>
        <v>989-0228</v>
      </c>
      <c r="D977" s="2" t="str">
        <f>"白石市字兎作４０－２"</f>
        <v>白石市字兎作４０－２</v>
      </c>
      <c r="E977" s="2" t="str">
        <f>"0224-26-3557  "</f>
        <v xml:space="preserve">0224-26-3557  </v>
      </c>
      <c r="F977" s="2" t="s">
        <v>9</v>
      </c>
      <c r="G977" s="2" t="s">
        <v>1063</v>
      </c>
    </row>
    <row r="978" spans="1:7" x14ac:dyDescent="0.4">
      <c r="A978" s="2">
        <v>977</v>
      </c>
      <c r="B978" s="2" t="s">
        <v>945</v>
      </c>
      <c r="C978" s="2" t="str">
        <f>"989-0207"</f>
        <v>989-0207</v>
      </c>
      <c r="D978" s="2" t="s">
        <v>946</v>
      </c>
      <c r="E978" s="2" t="str">
        <f>"0224-24-2020  "</f>
        <v xml:space="preserve">0224-24-2020  </v>
      </c>
      <c r="F978" s="2" t="s">
        <v>10</v>
      </c>
      <c r="G978" s="2" t="s">
        <v>902</v>
      </c>
    </row>
    <row r="979" spans="1:7" x14ac:dyDescent="0.4">
      <c r="A979" s="2">
        <v>978</v>
      </c>
      <c r="B979" s="2" t="s">
        <v>1229</v>
      </c>
      <c r="C979" s="2" t="str">
        <f>"989-0275"</f>
        <v>989-0275</v>
      </c>
      <c r="D979" s="2" t="s">
        <v>1230</v>
      </c>
      <c r="E979" s="2" t="str">
        <f>"0224-24-2523  "</f>
        <v xml:space="preserve">0224-24-2523  </v>
      </c>
      <c r="F979" s="2" t="s">
        <v>9</v>
      </c>
      <c r="G979" s="2" t="s">
        <v>1063</v>
      </c>
    </row>
    <row r="980" spans="1:7" x14ac:dyDescent="0.4">
      <c r="A980" s="2">
        <v>979</v>
      </c>
      <c r="B980" s="2" t="s">
        <v>220</v>
      </c>
      <c r="C980" s="2" t="str">
        <f>"989-0242"</f>
        <v>989-0242</v>
      </c>
      <c r="D980" s="2" t="s">
        <v>221</v>
      </c>
      <c r="E980" s="2" t="str">
        <f>"0224-24-4603  "</f>
        <v xml:space="preserve">0224-24-4603  </v>
      </c>
      <c r="F980" s="2" t="s">
        <v>6</v>
      </c>
      <c r="G980" s="2" t="s">
        <v>48</v>
      </c>
    </row>
    <row r="981" spans="1:7" x14ac:dyDescent="0.4">
      <c r="A981" s="2">
        <v>980</v>
      </c>
      <c r="B981" s="2" t="s">
        <v>1251</v>
      </c>
      <c r="C981" s="2" t="str">
        <f>"989-0245"</f>
        <v>989-0245</v>
      </c>
      <c r="D981" s="2" t="str">
        <f>"白石市城南二丁目2-13"</f>
        <v>白石市城南二丁目2-13</v>
      </c>
      <c r="E981" s="2" t="str">
        <f>"0224-26-1160  "</f>
        <v xml:space="preserve">0224-26-1160  </v>
      </c>
      <c r="F981" s="2" t="s">
        <v>9</v>
      </c>
      <c r="G981" s="2" t="s">
        <v>1063</v>
      </c>
    </row>
    <row r="982" spans="1:7" x14ac:dyDescent="0.4">
      <c r="A982" s="2">
        <v>981</v>
      </c>
      <c r="B982" s="2" t="s">
        <v>1243</v>
      </c>
      <c r="C982" s="2" t="str">
        <f>"989-0255"</f>
        <v>989-0255</v>
      </c>
      <c r="D982" s="2" t="str">
        <f>"白石市城北町　４－１４"</f>
        <v>白石市城北町　４－１４</v>
      </c>
      <c r="E982" s="2" t="str">
        <f>"0224-22-4966  "</f>
        <v xml:space="preserve">0224-22-4966  </v>
      </c>
      <c r="F982" s="2" t="s">
        <v>9</v>
      </c>
      <c r="G982" s="2" t="s">
        <v>1063</v>
      </c>
    </row>
    <row r="983" spans="1:7" ht="37.5" x14ac:dyDescent="0.4">
      <c r="A983" s="2">
        <v>982</v>
      </c>
      <c r="B983" s="2" t="s">
        <v>1236</v>
      </c>
      <c r="C983" s="2" t="str">
        <f>"989-0255"</f>
        <v>989-0255</v>
      </c>
      <c r="D983" s="2" t="s">
        <v>1237</v>
      </c>
      <c r="E983" s="2" t="str">
        <f>"0224-25-1680  "</f>
        <v xml:space="preserve">0224-25-1680  </v>
      </c>
      <c r="F983" s="2" t="s">
        <v>9</v>
      </c>
      <c r="G983" s="2" t="s">
        <v>1063</v>
      </c>
    </row>
    <row r="984" spans="1:7" x14ac:dyDescent="0.4">
      <c r="A984" s="2">
        <v>983</v>
      </c>
      <c r="B984" s="2" t="s">
        <v>230</v>
      </c>
      <c r="C984" s="2" t="str">
        <f>"989-0255"</f>
        <v>989-0255</v>
      </c>
      <c r="D984" s="2" t="str">
        <f>"白石市城北町４－４１"</f>
        <v>白石市城北町４－４１</v>
      </c>
      <c r="E984" s="2" t="str">
        <f>"0224-24-3161  "</f>
        <v xml:space="preserve">0224-24-3161  </v>
      </c>
      <c r="F984" s="2" t="s">
        <v>6</v>
      </c>
      <c r="G984" s="2" t="s">
        <v>48</v>
      </c>
    </row>
    <row r="985" spans="1:7" x14ac:dyDescent="0.4">
      <c r="A985" s="2">
        <v>984</v>
      </c>
      <c r="B985" s="2" t="s">
        <v>947</v>
      </c>
      <c r="C985" s="2" t="str">
        <f>"989-0252"</f>
        <v>989-0252</v>
      </c>
      <c r="D985" s="2" t="str">
        <f>"白石市西益岡町１－８"</f>
        <v>白石市西益岡町１－８</v>
      </c>
      <c r="E985" s="2" t="str">
        <f>"0224-25-9933  "</f>
        <v xml:space="preserve">0224-25-9933  </v>
      </c>
      <c r="F985" s="2" t="s">
        <v>10</v>
      </c>
      <c r="G985" s="2" t="s">
        <v>10</v>
      </c>
    </row>
    <row r="986" spans="1:7" ht="37.5" x14ac:dyDescent="0.4">
      <c r="A986" s="2">
        <v>985</v>
      </c>
      <c r="B986" s="2" t="s">
        <v>1249</v>
      </c>
      <c r="C986" s="2" t="str">
        <f>"989-0276"</f>
        <v>989-0276</v>
      </c>
      <c r="D986" s="2" t="str">
        <f>"白石市大手町１－８"</f>
        <v>白石市大手町１－８</v>
      </c>
      <c r="E986" s="2" t="str">
        <f>"0224-22-4361  "</f>
        <v xml:space="preserve">0224-22-4361  </v>
      </c>
      <c r="F986" s="2" t="s">
        <v>9</v>
      </c>
      <c r="G986" s="2" t="s">
        <v>1063</v>
      </c>
    </row>
    <row r="987" spans="1:7" ht="37.5" x14ac:dyDescent="0.4">
      <c r="A987" s="2">
        <v>986</v>
      </c>
      <c r="B987" s="2" t="s">
        <v>1788</v>
      </c>
      <c r="C987" s="2" t="str">
        <f>"989-0276"</f>
        <v>989-0276</v>
      </c>
      <c r="D987" s="2" t="s">
        <v>1789</v>
      </c>
      <c r="E987" s="2" t="str">
        <f>"0224-24-2267  "</f>
        <v xml:space="preserve">0224-24-2267  </v>
      </c>
      <c r="F987" s="2" t="s">
        <v>11</v>
      </c>
      <c r="G987" s="2" t="s">
        <v>1151</v>
      </c>
    </row>
    <row r="988" spans="1:7" x14ac:dyDescent="0.4">
      <c r="A988" s="2">
        <v>987</v>
      </c>
      <c r="B988" s="2" t="s">
        <v>236</v>
      </c>
      <c r="C988" s="2" t="str">
        <f>"989-0276"</f>
        <v>989-0276</v>
      </c>
      <c r="D988" s="2" t="s">
        <v>237</v>
      </c>
      <c r="E988" s="2" t="str">
        <f>"0224-26-2653  "</f>
        <v xml:space="preserve">0224-26-2653  </v>
      </c>
      <c r="F988" s="2" t="s">
        <v>6</v>
      </c>
      <c r="G988" s="2" t="s">
        <v>61</v>
      </c>
    </row>
    <row r="989" spans="1:7" ht="37.5" x14ac:dyDescent="0.4">
      <c r="A989" s="2">
        <v>988</v>
      </c>
      <c r="B989" s="2" t="s">
        <v>225</v>
      </c>
      <c r="C989" s="2" t="str">
        <f>"989-0213"</f>
        <v>989-0213</v>
      </c>
      <c r="D989" s="2" t="s">
        <v>226</v>
      </c>
      <c r="E989" s="2" t="str">
        <f>"0224-26-3101  "</f>
        <v xml:space="preserve">0224-26-3101  </v>
      </c>
      <c r="F989" s="2" t="s">
        <v>6</v>
      </c>
      <c r="G989" s="2" t="s">
        <v>227</v>
      </c>
    </row>
    <row r="990" spans="1:7" ht="37.5" x14ac:dyDescent="0.4">
      <c r="A990" s="2">
        <v>989</v>
      </c>
      <c r="B990" s="2" t="s">
        <v>240</v>
      </c>
      <c r="C990" s="2" t="str">
        <f>"989-0218"</f>
        <v>989-0218</v>
      </c>
      <c r="D990" s="2" t="str">
        <f>"白石市鷹巣東１－５－２６"</f>
        <v>白石市鷹巣東１－５－２６</v>
      </c>
      <c r="E990" s="2" t="str">
        <f>"0224-26-2823  "</f>
        <v xml:space="preserve">0224-26-2823  </v>
      </c>
      <c r="F990" s="2" t="s">
        <v>6</v>
      </c>
      <c r="G990" s="2" t="s">
        <v>241</v>
      </c>
    </row>
    <row r="991" spans="1:7" x14ac:dyDescent="0.4">
      <c r="A991" s="2">
        <v>990</v>
      </c>
      <c r="B991" s="2" t="s">
        <v>1235</v>
      </c>
      <c r="C991" s="2" t="str">
        <f>"989-0218"</f>
        <v>989-0218</v>
      </c>
      <c r="D991" s="2" t="str">
        <f>"白石市鷹巣東1-5-28"</f>
        <v>白石市鷹巣東1-5-28</v>
      </c>
      <c r="E991" s="2" t="str">
        <f>"0224-26-3376  "</f>
        <v xml:space="preserve">0224-26-3376  </v>
      </c>
      <c r="F991" s="2" t="s">
        <v>9</v>
      </c>
      <c r="G991" s="2" t="s">
        <v>1063</v>
      </c>
    </row>
    <row r="992" spans="1:7" ht="37.5" x14ac:dyDescent="0.4">
      <c r="A992" s="2">
        <v>991</v>
      </c>
      <c r="B992" s="2" t="s">
        <v>238</v>
      </c>
      <c r="C992" s="2" t="str">
        <f>"989-0218"</f>
        <v>989-0218</v>
      </c>
      <c r="D992" s="2" t="str">
        <f>"白石市鷹巣東３丁目８－３"</f>
        <v>白石市鷹巣東３丁目８－３</v>
      </c>
      <c r="E992" s="2" t="str">
        <f>"0224-26-6330  "</f>
        <v xml:space="preserve">0224-26-6330  </v>
      </c>
      <c r="F992" s="2" t="s">
        <v>6</v>
      </c>
      <c r="G992" s="2" t="s">
        <v>44</v>
      </c>
    </row>
    <row r="993" spans="1:7" ht="37.5" x14ac:dyDescent="0.4">
      <c r="A993" s="2">
        <v>992</v>
      </c>
      <c r="B993" s="2" t="s">
        <v>1252</v>
      </c>
      <c r="C993" s="2" t="str">
        <f>"989-0218"</f>
        <v>989-0218</v>
      </c>
      <c r="D993" s="2" t="str">
        <f>"白石市鷹巣東３丁目８－３５"</f>
        <v>白石市鷹巣東３丁目８－３５</v>
      </c>
      <c r="E993" s="2" t="str">
        <f>"0224-26-6507  "</f>
        <v xml:space="preserve">0224-26-6507  </v>
      </c>
      <c r="F993" s="2" t="s">
        <v>9</v>
      </c>
      <c r="G993" s="2" t="s">
        <v>1063</v>
      </c>
    </row>
    <row r="994" spans="1:7" ht="37.5" x14ac:dyDescent="0.4">
      <c r="A994" s="2">
        <v>993</v>
      </c>
      <c r="B994" s="2" t="s">
        <v>1790</v>
      </c>
      <c r="C994" s="2" t="str">
        <f>"989-0218"</f>
        <v>989-0218</v>
      </c>
      <c r="D994" s="2" t="str">
        <f>"白石市鷹巣東三丁目８－１"</f>
        <v>白石市鷹巣東三丁目８－１</v>
      </c>
      <c r="E994" s="2" t="str">
        <f>"0224-26-6806  "</f>
        <v xml:space="preserve">0224-26-6806  </v>
      </c>
      <c r="F994" s="2" t="s">
        <v>11</v>
      </c>
      <c r="G994" s="2" t="s">
        <v>1151</v>
      </c>
    </row>
    <row r="995" spans="1:7" x14ac:dyDescent="0.4">
      <c r="A995" s="2">
        <v>994</v>
      </c>
      <c r="B995" s="2" t="s">
        <v>239</v>
      </c>
      <c r="C995" s="2" t="str">
        <f>"989-0277"</f>
        <v>989-0277</v>
      </c>
      <c r="D995" s="2" t="str">
        <f>"白石市沢端町　１－３７"</f>
        <v>白石市沢端町　１－３７</v>
      </c>
      <c r="E995" s="2" t="str">
        <f>"0224-25-2210  "</f>
        <v xml:space="preserve">0224-25-2210  </v>
      </c>
      <c r="F995" s="2" t="s">
        <v>6</v>
      </c>
      <c r="G995" s="2" t="s">
        <v>79</v>
      </c>
    </row>
    <row r="996" spans="1:7" x14ac:dyDescent="0.4">
      <c r="A996" s="2">
        <v>995</v>
      </c>
      <c r="B996" s="2" t="s">
        <v>1253</v>
      </c>
      <c r="C996" s="2" t="str">
        <f>"989-0277"</f>
        <v>989-0277</v>
      </c>
      <c r="D996" s="2" t="str">
        <f>"白石市沢端町2－39"</f>
        <v>白石市沢端町2－39</v>
      </c>
      <c r="E996" s="2" t="str">
        <f>"0224-26-6682  "</f>
        <v xml:space="preserve">0224-26-6682  </v>
      </c>
      <c r="F996" s="2" t="s">
        <v>9</v>
      </c>
      <c r="G996" s="2" t="s">
        <v>1129</v>
      </c>
    </row>
    <row r="997" spans="1:7" x14ac:dyDescent="0.4">
      <c r="A997" s="2">
        <v>996</v>
      </c>
      <c r="B997" s="2" t="s">
        <v>219</v>
      </c>
      <c r="C997" s="2" t="str">
        <f>"989-0277"</f>
        <v>989-0277</v>
      </c>
      <c r="D997" s="2" t="str">
        <f>"白石市沢端町３－４３"</f>
        <v>白石市沢端町３－４３</v>
      </c>
      <c r="E997" s="2" t="str">
        <f>"0224-25-2736  "</f>
        <v xml:space="preserve">0224-25-2736  </v>
      </c>
      <c r="F997" s="2" t="s">
        <v>6</v>
      </c>
      <c r="G997" s="2" t="s">
        <v>137</v>
      </c>
    </row>
    <row r="998" spans="1:7" x14ac:dyDescent="0.4">
      <c r="A998" s="2">
        <v>997</v>
      </c>
      <c r="B998" s="2" t="s">
        <v>228</v>
      </c>
      <c r="C998" s="2" t="str">
        <f>"989-0228"</f>
        <v>989-0228</v>
      </c>
      <c r="D998" s="2" t="str">
        <f>"白石市兎作　４０－１"</f>
        <v>白石市兎作　４０－１</v>
      </c>
      <c r="E998" s="2" t="str">
        <f>"0224-26-3888  "</f>
        <v xml:space="preserve">0224-26-3888  </v>
      </c>
      <c r="F998" s="2" t="s">
        <v>6</v>
      </c>
      <c r="G998" s="2" t="s">
        <v>229</v>
      </c>
    </row>
    <row r="999" spans="1:7" x14ac:dyDescent="0.4">
      <c r="A999" s="2">
        <v>998</v>
      </c>
      <c r="B999" s="2" t="s">
        <v>948</v>
      </c>
      <c r="C999" s="2" t="str">
        <f>"989-0205"</f>
        <v>989-0205</v>
      </c>
      <c r="D999" s="2" t="str">
        <f>"白石市東大畑１３４－５"</f>
        <v>白石市東大畑１３４－５</v>
      </c>
      <c r="E999" s="2" t="str">
        <f>"0224-22-2112  "</f>
        <v xml:space="preserve">0224-22-2112  </v>
      </c>
      <c r="F999" s="2" t="s">
        <v>10</v>
      </c>
      <c r="G999" s="2" t="s">
        <v>949</v>
      </c>
    </row>
    <row r="1000" spans="1:7" x14ac:dyDescent="0.4">
      <c r="A1000" s="2">
        <v>999</v>
      </c>
      <c r="B1000" s="2" t="s">
        <v>1250</v>
      </c>
      <c r="C1000" s="2" t="str">
        <f>"989-0248"</f>
        <v>989-0248</v>
      </c>
      <c r="D1000" s="2" t="str">
        <f>"白石市南町１－３－３９"</f>
        <v>白石市南町１－３－３９</v>
      </c>
      <c r="E1000" s="2" t="str">
        <f>"0224-25-2320  "</f>
        <v xml:space="preserve">0224-25-2320  </v>
      </c>
      <c r="F1000" s="2" t="s">
        <v>9</v>
      </c>
      <c r="G1000" s="2" t="s">
        <v>1063</v>
      </c>
    </row>
    <row r="1001" spans="1:7" ht="37.5" x14ac:dyDescent="0.4">
      <c r="A1001" s="2">
        <v>1000</v>
      </c>
      <c r="B1001" s="2" t="s">
        <v>1246</v>
      </c>
      <c r="C1001" s="2" t="str">
        <f>"989-0731"</f>
        <v>989-0731</v>
      </c>
      <c r="D1001" s="2" t="s">
        <v>1247</v>
      </c>
      <c r="E1001" s="2" t="str">
        <f>"0224-24-3113  "</f>
        <v xml:space="preserve">0224-24-3113  </v>
      </c>
      <c r="F1001" s="2" t="s">
        <v>9</v>
      </c>
      <c r="G1001" s="2" t="s">
        <v>1063</v>
      </c>
    </row>
    <row r="1002" spans="1:7" ht="56.25" x14ac:dyDescent="0.4">
      <c r="A1002" s="2">
        <v>1001</v>
      </c>
      <c r="B1002" s="2" t="s">
        <v>231</v>
      </c>
      <c r="C1002" s="2" t="str">
        <f>"989-0731"</f>
        <v>989-0731</v>
      </c>
      <c r="D1002" s="2" t="str">
        <f>"白石市福岡深谷字一本松５－１"</f>
        <v>白石市福岡深谷字一本松５－１</v>
      </c>
      <c r="E1002" s="2" t="str">
        <f>"0224-22-2111  "</f>
        <v xml:space="preserve">0224-22-2111  </v>
      </c>
      <c r="F1002" s="2" t="s">
        <v>6</v>
      </c>
      <c r="G1002" s="2" t="s">
        <v>232</v>
      </c>
    </row>
    <row r="1003" spans="1:7" ht="75" x14ac:dyDescent="0.4">
      <c r="A1003" s="2">
        <v>1002</v>
      </c>
      <c r="B1003" s="2" t="s">
        <v>218</v>
      </c>
      <c r="C1003" s="2" t="str">
        <f>"989-0231"</f>
        <v>989-0231</v>
      </c>
      <c r="D1003" s="2" t="s">
        <v>242</v>
      </c>
      <c r="E1003" s="2" t="str">
        <f>"0224-25-2145  "</f>
        <v xml:space="preserve">0224-25-2145  </v>
      </c>
      <c r="F1003" s="2" t="s">
        <v>6</v>
      </c>
      <c r="G1003" s="2" t="s">
        <v>243</v>
      </c>
    </row>
    <row r="1004" spans="1:7" ht="37.5" x14ac:dyDescent="0.4">
      <c r="A1004" s="2">
        <v>1003</v>
      </c>
      <c r="B1004" s="2" t="s">
        <v>1242</v>
      </c>
      <c r="C1004" s="2" t="str">
        <f>"989-0231"</f>
        <v>989-0231</v>
      </c>
      <c r="D1004" s="2" t="str">
        <f>"白石市福岡蔵本字秋野沢　２２－５"</f>
        <v>白石市福岡蔵本字秋野沢　２２－５</v>
      </c>
      <c r="E1004" s="2" t="str">
        <f>"0224-22-5755  "</f>
        <v xml:space="preserve">0224-22-5755  </v>
      </c>
      <c r="F1004" s="2" t="s">
        <v>9</v>
      </c>
      <c r="G1004" s="2" t="s">
        <v>1063</v>
      </c>
    </row>
    <row r="1005" spans="1:7" ht="37.5" x14ac:dyDescent="0.4">
      <c r="A1005" s="2">
        <v>1004</v>
      </c>
      <c r="B1005" s="2" t="s">
        <v>1241</v>
      </c>
      <c r="C1005" s="2" t="str">
        <f>"989-0231"</f>
        <v>989-0231</v>
      </c>
      <c r="D1005" s="2" t="str">
        <f>"白石市福岡蔵本秋野沢　２６－１"</f>
        <v>白石市福岡蔵本秋野沢　２６－１</v>
      </c>
      <c r="E1005" s="2" t="str">
        <f>"0224-24-2529  "</f>
        <v xml:space="preserve">0224-24-2529  </v>
      </c>
      <c r="F1005" s="2" t="s">
        <v>9</v>
      </c>
      <c r="G1005" s="2" t="s">
        <v>1063</v>
      </c>
    </row>
    <row r="1006" spans="1:7" x14ac:dyDescent="0.4">
      <c r="A1006" s="2">
        <v>1005</v>
      </c>
      <c r="B1006" s="2" t="s">
        <v>1227</v>
      </c>
      <c r="C1006" s="2" t="str">
        <f>"989-0275"</f>
        <v>989-0275</v>
      </c>
      <c r="D1006" s="2" t="s">
        <v>1228</v>
      </c>
      <c r="E1006" s="2" t="str">
        <f>"0224-26-2211  "</f>
        <v xml:space="preserve">0224-26-2211  </v>
      </c>
      <c r="F1006" s="2" t="s">
        <v>9</v>
      </c>
      <c r="G1006" s="2" t="s">
        <v>1063</v>
      </c>
    </row>
    <row r="1007" spans="1:7" ht="37.5" x14ac:dyDescent="0.4">
      <c r="A1007" s="2">
        <v>1006</v>
      </c>
      <c r="B1007" s="2" t="s">
        <v>679</v>
      </c>
      <c r="C1007" s="2" t="str">
        <f>"981-3361"</f>
        <v>981-3361</v>
      </c>
      <c r="D1007" s="2" t="str">
        <f>"富谷市あけの平2-3-8"</f>
        <v>富谷市あけの平2-3-8</v>
      </c>
      <c r="E1007" s="2" t="str">
        <f>"022-342-1097  "</f>
        <v xml:space="preserve">022-342-1097  </v>
      </c>
      <c r="F1007" s="2" t="s">
        <v>6</v>
      </c>
      <c r="G1007" s="2" t="s">
        <v>38</v>
      </c>
    </row>
    <row r="1008" spans="1:7" ht="37.5" x14ac:dyDescent="0.4">
      <c r="A1008" s="2">
        <v>1007</v>
      </c>
      <c r="B1008" s="2" t="s">
        <v>1021</v>
      </c>
      <c r="C1008" s="2" t="str">
        <f>"981-3361"</f>
        <v>981-3361</v>
      </c>
      <c r="D1008" s="2" t="str">
        <f>"富谷市あけの平２－４－４"</f>
        <v>富谷市あけの平２－４－４</v>
      </c>
      <c r="E1008" s="2" t="str">
        <f>"022-358-5949  "</f>
        <v xml:space="preserve">022-358-5949  </v>
      </c>
      <c r="F1008" s="2" t="s">
        <v>10</v>
      </c>
      <c r="G1008" s="2" t="s">
        <v>10</v>
      </c>
    </row>
    <row r="1009" spans="1:7" ht="37.5" x14ac:dyDescent="0.4">
      <c r="A1009" s="2">
        <v>1008</v>
      </c>
      <c r="B1009" s="2" t="s">
        <v>668</v>
      </c>
      <c r="C1009" s="2" t="str">
        <f>"981-3304"</f>
        <v>981-3304</v>
      </c>
      <c r="D1009" s="2" t="str">
        <f>"富谷市ひより台1-45-1"</f>
        <v>富谷市ひより台1-45-1</v>
      </c>
      <c r="E1009" s="2" t="str">
        <f>"022-358-2872  "</f>
        <v xml:space="preserve">022-358-2872  </v>
      </c>
      <c r="F1009" s="2" t="s">
        <v>6</v>
      </c>
      <c r="G1009" s="2" t="s">
        <v>669</v>
      </c>
    </row>
    <row r="1010" spans="1:7" ht="37.5" x14ac:dyDescent="0.4">
      <c r="A1010" s="2">
        <v>1009</v>
      </c>
      <c r="B1010" s="2" t="s">
        <v>1587</v>
      </c>
      <c r="C1010" s="2" t="str">
        <f>"981-3313"</f>
        <v>981-3313</v>
      </c>
      <c r="D1010" s="2" t="s">
        <v>1588</v>
      </c>
      <c r="E1010" s="2" t="str">
        <f>"022-348-1136  "</f>
        <v xml:space="preserve">022-348-1136  </v>
      </c>
      <c r="F1010" s="2" t="s">
        <v>9</v>
      </c>
      <c r="G1010" s="2" t="s">
        <v>1063</v>
      </c>
    </row>
    <row r="1011" spans="1:7" ht="56.25" x14ac:dyDescent="0.4">
      <c r="A1011" s="2">
        <v>1010</v>
      </c>
      <c r="B1011" s="2" t="s">
        <v>676</v>
      </c>
      <c r="C1011" s="2" t="str">
        <f>"981-3328"</f>
        <v>981-3328</v>
      </c>
      <c r="D1011" s="2" t="str">
        <f>"富谷市上桜木2-1-6"</f>
        <v>富谷市上桜木2-1-6</v>
      </c>
      <c r="E1011" s="2" t="str">
        <f>"022-779-1470  "</f>
        <v xml:space="preserve">022-779-1470  </v>
      </c>
      <c r="F1011" s="2" t="s">
        <v>6</v>
      </c>
      <c r="G1011" s="2" t="s">
        <v>677</v>
      </c>
    </row>
    <row r="1012" spans="1:7" x14ac:dyDescent="0.4">
      <c r="A1012" s="2">
        <v>1011</v>
      </c>
      <c r="B1012" s="2" t="s">
        <v>1582</v>
      </c>
      <c r="C1012" s="2" t="str">
        <f>"981-3328"</f>
        <v>981-3328</v>
      </c>
      <c r="D1012" s="2" t="str">
        <f>"富谷市上桜木２－１－７"</f>
        <v>富谷市上桜木２－１－７</v>
      </c>
      <c r="E1012" s="2" t="str">
        <f>"022-779-1720  "</f>
        <v xml:space="preserve">022-779-1720  </v>
      </c>
      <c r="F1012" s="2" t="s">
        <v>9</v>
      </c>
      <c r="G1012" s="2" t="s">
        <v>1063</v>
      </c>
    </row>
    <row r="1013" spans="1:7" ht="37.5" x14ac:dyDescent="0.4">
      <c r="A1013" s="2">
        <v>1012</v>
      </c>
      <c r="B1013" s="2" t="s">
        <v>1586</v>
      </c>
      <c r="C1013" s="2" t="str">
        <f>"981-3328"</f>
        <v>981-3328</v>
      </c>
      <c r="D1013" s="2" t="str">
        <f>"富谷市上桜木２丁目３－６"</f>
        <v>富谷市上桜木２丁目３－６</v>
      </c>
      <c r="E1013" s="2" t="str">
        <f>"022-779-1750  "</f>
        <v xml:space="preserve">022-779-1750  </v>
      </c>
      <c r="F1013" s="2" t="s">
        <v>9</v>
      </c>
      <c r="G1013" s="2" t="s">
        <v>1063</v>
      </c>
    </row>
    <row r="1014" spans="1:7" x14ac:dyDescent="0.4">
      <c r="A1014" s="2">
        <v>1013</v>
      </c>
      <c r="B1014" s="2" t="s">
        <v>1580</v>
      </c>
      <c r="C1014" s="2" t="str">
        <f>"981-3328"</f>
        <v>981-3328</v>
      </c>
      <c r="D1014" s="2" t="str">
        <f>"富谷市上桜木2丁目3番1-2"</f>
        <v>富谷市上桜木2丁目3番1-2</v>
      </c>
      <c r="E1014" s="2" t="str">
        <f>"022-348-1171  "</f>
        <v xml:space="preserve">022-348-1171  </v>
      </c>
      <c r="F1014" s="2" t="s">
        <v>9</v>
      </c>
      <c r="G1014" s="2" t="s">
        <v>1063</v>
      </c>
    </row>
    <row r="1015" spans="1:7" x14ac:dyDescent="0.4">
      <c r="A1015" s="2">
        <v>1014</v>
      </c>
      <c r="B1015" s="2" t="s">
        <v>1596</v>
      </c>
      <c r="C1015" s="2" t="str">
        <f>"981-3341"</f>
        <v>981-3341</v>
      </c>
      <c r="D1015" s="2" t="str">
        <f>"富谷市成田１丁目６－８"</f>
        <v>富谷市成田１丁目６－８</v>
      </c>
      <c r="E1015" s="2" t="str">
        <f>"022-341-2017  "</f>
        <v xml:space="preserve">022-341-2017  </v>
      </c>
      <c r="F1015" s="2" t="s">
        <v>9</v>
      </c>
      <c r="G1015" s="2" t="s">
        <v>1063</v>
      </c>
    </row>
    <row r="1016" spans="1:7" x14ac:dyDescent="0.4">
      <c r="A1016" s="2">
        <v>1015</v>
      </c>
      <c r="B1016" s="2" t="s">
        <v>1579</v>
      </c>
      <c r="C1016" s="2" t="str">
        <f>"981-3341"</f>
        <v>981-3341</v>
      </c>
      <c r="D1016" s="2" t="str">
        <f>"富谷市成田４－１－１０"</f>
        <v>富谷市成田４－１－１０</v>
      </c>
      <c r="E1016" s="2" t="str">
        <f>"022-351-7691  "</f>
        <v xml:space="preserve">022-351-7691  </v>
      </c>
      <c r="F1016" s="2" t="s">
        <v>9</v>
      </c>
      <c r="G1016" s="2" t="s">
        <v>1063</v>
      </c>
    </row>
    <row r="1017" spans="1:7" x14ac:dyDescent="0.4">
      <c r="A1017" s="2">
        <v>1016</v>
      </c>
      <c r="B1017" s="2" t="s">
        <v>675</v>
      </c>
      <c r="C1017" s="2" t="str">
        <f>"981-3341"</f>
        <v>981-3341</v>
      </c>
      <c r="D1017" s="2" t="str">
        <f>"富谷市成田４－１－１１"</f>
        <v>富谷市成田４－１－１１</v>
      </c>
      <c r="E1017" s="2" t="str">
        <f>"022-348-3051  "</f>
        <v xml:space="preserve">022-348-3051  </v>
      </c>
      <c r="F1017" s="2" t="s">
        <v>6</v>
      </c>
      <c r="G1017" s="2" t="s">
        <v>281</v>
      </c>
    </row>
    <row r="1018" spans="1:7" x14ac:dyDescent="0.4">
      <c r="A1018" s="2">
        <v>1017</v>
      </c>
      <c r="B1018" s="2" t="s">
        <v>1025</v>
      </c>
      <c r="C1018" s="2" t="str">
        <f>"981-3341"</f>
        <v>981-3341</v>
      </c>
      <c r="D1018" s="2" t="str">
        <f>"富谷市成田４－１１－５"</f>
        <v>富谷市成田４－１１－５</v>
      </c>
      <c r="E1018" s="2" t="str">
        <f>"022-351-6331  "</f>
        <v xml:space="preserve">022-351-6331  </v>
      </c>
      <c r="F1018" s="2" t="s">
        <v>6</v>
      </c>
      <c r="G1018" s="2" t="s">
        <v>902</v>
      </c>
    </row>
    <row r="1019" spans="1:7" x14ac:dyDescent="0.4">
      <c r="A1019" s="2">
        <v>1018</v>
      </c>
      <c r="B1019" s="2" t="s">
        <v>1584</v>
      </c>
      <c r="C1019" s="2" t="str">
        <f>"981-3341"</f>
        <v>981-3341</v>
      </c>
      <c r="D1019" s="2" t="str">
        <f>"富谷市成田4丁目18-9"</f>
        <v>富谷市成田4丁目18-9</v>
      </c>
      <c r="E1019" s="2" t="str">
        <f>"022-344-7337  "</f>
        <v xml:space="preserve">022-344-7337  </v>
      </c>
      <c r="F1019" s="2" t="s">
        <v>9</v>
      </c>
      <c r="G1019" s="2" t="s">
        <v>1063</v>
      </c>
    </row>
    <row r="1020" spans="1:7" x14ac:dyDescent="0.4">
      <c r="A1020" s="2">
        <v>1019</v>
      </c>
      <c r="B1020" s="2" t="s">
        <v>1594</v>
      </c>
      <c r="C1020" s="2" t="str">
        <f>"981-3341"</f>
        <v>981-3341</v>
      </c>
      <c r="D1020" s="2" t="str">
        <f>"富谷市成田８－２－３"</f>
        <v>富谷市成田８－２－３</v>
      </c>
      <c r="E1020" s="2" t="str">
        <f>"022-351-7680  "</f>
        <v xml:space="preserve">022-351-7680  </v>
      </c>
      <c r="F1020" s="2" t="s">
        <v>9</v>
      </c>
      <c r="G1020" s="2" t="s">
        <v>1063</v>
      </c>
    </row>
    <row r="1021" spans="1:7" ht="37.5" x14ac:dyDescent="0.4">
      <c r="A1021" s="2">
        <v>1020</v>
      </c>
      <c r="B1021" s="2" t="s">
        <v>1024</v>
      </c>
      <c r="C1021" s="2" t="str">
        <f>"981-3303"</f>
        <v>981-3303</v>
      </c>
      <c r="D1021" s="2" t="str">
        <f>"富谷市太子堂一丁目９－２１"</f>
        <v>富谷市太子堂一丁目９－２１</v>
      </c>
      <c r="E1021" s="2" t="str">
        <f>"022-358-2523  "</f>
        <v xml:space="preserve">022-358-2523  </v>
      </c>
      <c r="F1021" s="2" t="s">
        <v>10</v>
      </c>
      <c r="G1021" s="2" t="s">
        <v>10</v>
      </c>
    </row>
    <row r="1022" spans="1:7" x14ac:dyDescent="0.4">
      <c r="A1022" s="2">
        <v>1021</v>
      </c>
      <c r="B1022" s="2" t="s">
        <v>678</v>
      </c>
      <c r="C1022" s="2" t="str">
        <f>"981-3329"</f>
        <v>981-3329</v>
      </c>
      <c r="D1022" s="2" t="str">
        <f>"富谷市大清水1-2-3"</f>
        <v>富谷市大清水1-2-3</v>
      </c>
      <c r="E1022" s="2" t="str">
        <f>"022-346-0482  "</f>
        <v xml:space="preserve">022-346-0482  </v>
      </c>
      <c r="F1022" s="2" t="s">
        <v>6</v>
      </c>
      <c r="G1022" s="2" t="s">
        <v>50</v>
      </c>
    </row>
    <row r="1023" spans="1:7" ht="37.5" x14ac:dyDescent="0.4">
      <c r="A1023" s="2">
        <v>1022</v>
      </c>
      <c r="B1023" s="2" t="s">
        <v>1595</v>
      </c>
      <c r="C1023" s="2" t="str">
        <f>"981-3329"</f>
        <v>981-3329</v>
      </c>
      <c r="D1023" s="2" t="str">
        <f>"富谷市大清水一丁目３３－１"</f>
        <v>富谷市大清水一丁目３３－１</v>
      </c>
      <c r="E1023" s="2" t="str">
        <f>"022-348-7271  "</f>
        <v xml:space="preserve">022-348-7271  </v>
      </c>
      <c r="F1023" s="2" t="s">
        <v>9</v>
      </c>
      <c r="G1023" s="2" t="s">
        <v>1063</v>
      </c>
    </row>
    <row r="1024" spans="1:7" x14ac:dyDescent="0.4">
      <c r="A1024" s="2">
        <v>1023</v>
      </c>
      <c r="B1024" s="2" t="s">
        <v>1581</v>
      </c>
      <c r="C1024" s="2" t="str">
        <f>"981-3362"</f>
        <v>981-3362</v>
      </c>
      <c r="D1024" s="2" t="str">
        <f>"富谷市日吉台1-21-3"</f>
        <v>富谷市日吉台1-21-3</v>
      </c>
      <c r="E1024" s="2" t="str">
        <f>"022-779-1231  "</f>
        <v xml:space="preserve">022-779-1231  </v>
      </c>
      <c r="F1024" s="2" t="s">
        <v>9</v>
      </c>
      <c r="G1024" s="2" t="s">
        <v>1063</v>
      </c>
    </row>
    <row r="1025" spans="1:7" ht="37.5" x14ac:dyDescent="0.4">
      <c r="A1025" s="2">
        <v>1024</v>
      </c>
      <c r="B1025" s="2" t="s">
        <v>671</v>
      </c>
      <c r="C1025" s="2" t="str">
        <f>"981-3362"</f>
        <v>981-3362</v>
      </c>
      <c r="D1025" s="2" t="str">
        <f>"富谷市日吉台２－３８－１０"</f>
        <v>富谷市日吉台２－３８－１０</v>
      </c>
      <c r="E1025" s="2" t="str">
        <f>"022-348-5211  "</f>
        <v xml:space="preserve">022-348-5211  </v>
      </c>
      <c r="F1025" s="2" t="s">
        <v>6</v>
      </c>
      <c r="G1025" s="2" t="s">
        <v>672</v>
      </c>
    </row>
    <row r="1026" spans="1:7" ht="37.5" x14ac:dyDescent="0.4">
      <c r="A1026" s="2">
        <v>1025</v>
      </c>
      <c r="B1026" s="2" t="s">
        <v>1593</v>
      </c>
      <c r="C1026" s="2" t="str">
        <f>"981-3362"</f>
        <v>981-3362</v>
      </c>
      <c r="D1026" s="2" t="str">
        <f>"富谷市日吉台2丁目34－2－2"</f>
        <v>富谷市日吉台2丁目34－2－2</v>
      </c>
      <c r="E1026" s="2" t="str">
        <f>"022-725-8015  "</f>
        <v xml:space="preserve">022-725-8015  </v>
      </c>
      <c r="F1026" s="2" t="s">
        <v>9</v>
      </c>
      <c r="G1026" s="2" t="s">
        <v>1129</v>
      </c>
    </row>
    <row r="1027" spans="1:7" ht="37.5" x14ac:dyDescent="0.4">
      <c r="A1027" s="2">
        <v>1026</v>
      </c>
      <c r="B1027" s="2" t="s">
        <v>685</v>
      </c>
      <c r="C1027" s="2" t="str">
        <f>"981-3362"</f>
        <v>981-3362</v>
      </c>
      <c r="D1027" s="2" t="str">
        <f>"富谷市日吉台二丁目34－2－1"</f>
        <v>富谷市日吉台二丁目34－2－1</v>
      </c>
      <c r="E1027" s="2" t="str">
        <f>"022-725-7201  "</f>
        <v xml:space="preserve">022-725-7201  </v>
      </c>
      <c r="F1027" s="2" t="s">
        <v>6</v>
      </c>
      <c r="G1027" s="2" t="s">
        <v>686</v>
      </c>
    </row>
    <row r="1028" spans="1:7" ht="37.5" x14ac:dyDescent="0.4">
      <c r="A1028" s="2">
        <v>1027</v>
      </c>
      <c r="B1028" s="2" t="s">
        <v>687</v>
      </c>
      <c r="C1028" s="2" t="str">
        <f>"981-3352"</f>
        <v>981-3352</v>
      </c>
      <c r="D1028" s="2" t="str">
        <f>"富谷市富ケ丘２丁目１１－４３"</f>
        <v>富谷市富ケ丘２丁目１１－４３</v>
      </c>
      <c r="E1028" s="2" t="str">
        <f>"022-341-8831  "</f>
        <v xml:space="preserve">022-341-8831  </v>
      </c>
      <c r="F1028" s="2" t="s">
        <v>6</v>
      </c>
      <c r="G1028" s="2" t="s">
        <v>688</v>
      </c>
    </row>
    <row r="1029" spans="1:7" ht="56.25" x14ac:dyDescent="0.4">
      <c r="A1029" s="2">
        <v>1028</v>
      </c>
      <c r="B1029" s="2" t="s">
        <v>682</v>
      </c>
      <c r="C1029" s="2" t="str">
        <f>"981-3352"</f>
        <v>981-3352</v>
      </c>
      <c r="D1029" s="2" t="s">
        <v>683</v>
      </c>
      <c r="E1029" s="2" t="str">
        <f>"022-343-5512  "</f>
        <v xml:space="preserve">022-343-5512  </v>
      </c>
      <c r="F1029" s="2" t="s">
        <v>6</v>
      </c>
      <c r="G1029" s="2" t="s">
        <v>684</v>
      </c>
    </row>
    <row r="1030" spans="1:7" ht="37.5" x14ac:dyDescent="0.4">
      <c r="A1030" s="2">
        <v>1029</v>
      </c>
      <c r="B1030" s="2" t="s">
        <v>1591</v>
      </c>
      <c r="C1030" s="2" t="str">
        <f>"981-3352"</f>
        <v>981-3352</v>
      </c>
      <c r="D1030" s="2" t="s">
        <v>1592</v>
      </c>
      <c r="E1030" s="2" t="str">
        <f>"022-346-7538  "</f>
        <v xml:space="preserve">022-346-7538  </v>
      </c>
      <c r="F1030" s="2" t="s">
        <v>9</v>
      </c>
      <c r="G1030" s="2" t="s">
        <v>1129</v>
      </c>
    </row>
    <row r="1031" spans="1:7" ht="37.5" x14ac:dyDescent="0.4">
      <c r="A1031" s="2">
        <v>1030</v>
      </c>
      <c r="B1031" s="2" t="s">
        <v>1848</v>
      </c>
      <c r="C1031" s="2" t="str">
        <f>"981-3311"</f>
        <v>981-3311</v>
      </c>
      <c r="D1031" s="2" t="s">
        <v>1849</v>
      </c>
      <c r="E1031" s="2" t="str">
        <f>"022-725-6527  "</f>
        <v xml:space="preserve">022-725-6527  </v>
      </c>
      <c r="F1031" s="2" t="s">
        <v>11</v>
      </c>
      <c r="G1031" s="2" t="s">
        <v>1151</v>
      </c>
    </row>
    <row r="1032" spans="1:7" x14ac:dyDescent="0.4">
      <c r="A1032" s="2">
        <v>1031</v>
      </c>
      <c r="B1032" s="2" t="s">
        <v>1022</v>
      </c>
      <c r="C1032" s="2" t="str">
        <f>"981-3311"</f>
        <v>981-3311</v>
      </c>
      <c r="D1032" s="2" t="s">
        <v>1023</v>
      </c>
      <c r="E1032" s="2" t="str">
        <f>"022-358-0222  "</f>
        <v xml:space="preserve">022-358-0222  </v>
      </c>
      <c r="F1032" s="2" t="s">
        <v>10</v>
      </c>
      <c r="G1032" s="2" t="s">
        <v>902</v>
      </c>
    </row>
    <row r="1033" spans="1:7" x14ac:dyDescent="0.4">
      <c r="A1033" s="2">
        <v>1032</v>
      </c>
      <c r="B1033" s="2" t="s">
        <v>1589</v>
      </c>
      <c r="C1033" s="2" t="str">
        <f>"981-3311"</f>
        <v>981-3311</v>
      </c>
      <c r="D1033" s="2" t="str">
        <f>"富谷市富谷仏所95-1"</f>
        <v>富谷市富谷仏所95-1</v>
      </c>
      <c r="E1033" s="2" t="str">
        <f>"022-348-9339  "</f>
        <v xml:space="preserve">022-348-9339  </v>
      </c>
      <c r="F1033" s="2" t="s">
        <v>9</v>
      </c>
      <c r="G1033" s="2" t="s">
        <v>1129</v>
      </c>
    </row>
    <row r="1034" spans="1:7" ht="37.5" x14ac:dyDescent="0.4">
      <c r="A1034" s="2">
        <v>1033</v>
      </c>
      <c r="B1034" s="2" t="s">
        <v>673</v>
      </c>
      <c r="C1034" s="2" t="str">
        <f>"981-3332"</f>
        <v>981-3332</v>
      </c>
      <c r="D1034" s="2" t="str">
        <f>"富谷市明石台２－２２－５"</f>
        <v>富谷市明石台２－２２－５</v>
      </c>
      <c r="E1034" s="2" t="str">
        <f>"022-351-2322  "</f>
        <v xml:space="preserve">022-351-2322  </v>
      </c>
      <c r="F1034" s="2" t="s">
        <v>6</v>
      </c>
      <c r="G1034" s="2" t="s">
        <v>674</v>
      </c>
    </row>
    <row r="1035" spans="1:7" x14ac:dyDescent="0.4">
      <c r="A1035" s="2">
        <v>1034</v>
      </c>
      <c r="B1035" s="2" t="s">
        <v>1583</v>
      </c>
      <c r="C1035" s="2" t="str">
        <f>"981-3332"</f>
        <v>981-3332</v>
      </c>
      <c r="D1035" s="2" t="str">
        <f>"富谷市明石台５－１－３"</f>
        <v>富谷市明石台５－１－３</v>
      </c>
      <c r="E1035" s="2" t="str">
        <f>"022-371-1577  "</f>
        <v xml:space="preserve">022-371-1577  </v>
      </c>
      <c r="F1035" s="2" t="s">
        <v>9</v>
      </c>
      <c r="G1035" s="2" t="s">
        <v>1063</v>
      </c>
    </row>
    <row r="1036" spans="1:7" x14ac:dyDescent="0.4">
      <c r="A1036" s="2">
        <v>1035</v>
      </c>
      <c r="B1036" s="2" t="s">
        <v>1585</v>
      </c>
      <c r="C1036" s="2" t="str">
        <f>"981-3332"</f>
        <v>981-3332</v>
      </c>
      <c r="D1036" s="2" t="str">
        <f>"富谷市明石台6丁目1-20"</f>
        <v>富谷市明石台6丁目1-20</v>
      </c>
      <c r="E1036" s="2" t="str">
        <f>"022-739-7515  "</f>
        <v xml:space="preserve">022-739-7515  </v>
      </c>
      <c r="F1036" s="2" t="s">
        <v>9</v>
      </c>
      <c r="G1036" s="2" t="s">
        <v>1063</v>
      </c>
    </row>
    <row r="1037" spans="1:7" ht="37.5" x14ac:dyDescent="0.4">
      <c r="A1037" s="2">
        <v>1036</v>
      </c>
      <c r="B1037" s="2" t="s">
        <v>1850</v>
      </c>
      <c r="C1037" s="2" t="str">
        <f>"981-3332"</f>
        <v>981-3332</v>
      </c>
      <c r="D1037" s="2" t="str">
        <f>"富谷市明石台７丁目１－７"</f>
        <v>富谷市明石台７丁目１－７</v>
      </c>
      <c r="E1037" s="2" t="str">
        <f>"022-341-8871  "</f>
        <v xml:space="preserve">022-341-8871  </v>
      </c>
      <c r="F1037" s="2" t="s">
        <v>11</v>
      </c>
      <c r="G1037" s="2" t="s">
        <v>1151</v>
      </c>
    </row>
    <row r="1038" spans="1:7" ht="37.5" x14ac:dyDescent="0.4">
      <c r="A1038" s="2">
        <v>1037</v>
      </c>
      <c r="B1038" s="2" t="s">
        <v>1590</v>
      </c>
      <c r="C1038" s="2" t="str">
        <f>"981-3332"</f>
        <v>981-3332</v>
      </c>
      <c r="D1038" s="2" t="str">
        <f>"富谷市明石台七丁目1番23－101"</f>
        <v>富谷市明石台七丁目1番23－101</v>
      </c>
      <c r="E1038" s="2" t="str">
        <f>"022-343-1805  "</f>
        <v xml:space="preserve">022-343-1805  </v>
      </c>
      <c r="F1038" s="2" t="s">
        <v>9</v>
      </c>
      <c r="G1038" s="2" t="s">
        <v>1129</v>
      </c>
    </row>
    <row r="1039" spans="1:7" ht="37.5" x14ac:dyDescent="0.4">
      <c r="A1039" s="2">
        <v>1038</v>
      </c>
      <c r="B1039" s="2" t="s">
        <v>680</v>
      </c>
      <c r="C1039" s="2" t="str">
        <f>"981-3332"</f>
        <v>981-3332</v>
      </c>
      <c r="D1039" s="2" t="s">
        <v>681</v>
      </c>
      <c r="E1039" s="2" t="str">
        <f>"022-358-1976  "</f>
        <v xml:space="preserve">022-358-1976  </v>
      </c>
      <c r="F1039" s="2" t="s">
        <v>6</v>
      </c>
      <c r="G1039" s="2" t="s">
        <v>395</v>
      </c>
    </row>
    <row r="1040" spans="1:7" ht="37.5" x14ac:dyDescent="0.4">
      <c r="A1040" s="2">
        <v>1039</v>
      </c>
      <c r="B1040" s="2" t="s">
        <v>1757</v>
      </c>
      <c r="C1040" s="2" t="str">
        <f>"988-0423"</f>
        <v>988-0423</v>
      </c>
      <c r="D1040" s="2" t="str">
        <f>"本吉郡南三陸町歌津字枡沢６６－１"</f>
        <v>本吉郡南三陸町歌津字枡沢６６－１</v>
      </c>
      <c r="E1040" s="2" t="str">
        <f>"0226-36-3374  "</f>
        <v xml:space="preserve">0226-36-3374  </v>
      </c>
      <c r="F1040" s="2" t="s">
        <v>9</v>
      </c>
      <c r="G1040" s="2" t="s">
        <v>1063</v>
      </c>
    </row>
    <row r="1041" spans="1:7" ht="37.5" x14ac:dyDescent="0.4">
      <c r="A1041" s="2">
        <v>1040</v>
      </c>
      <c r="B1041" s="2" t="s">
        <v>1759</v>
      </c>
      <c r="C1041" s="2" t="str">
        <f>"988-0423"</f>
        <v>988-0423</v>
      </c>
      <c r="D1041" s="2" t="str">
        <f>"本吉郡南三陸町歌津字枡沢９０－１"</f>
        <v>本吉郡南三陸町歌津字枡沢９０－１</v>
      </c>
      <c r="E1041" s="2" t="str">
        <f>"0226-36-3831  "</f>
        <v xml:space="preserve">0226-36-3831  </v>
      </c>
      <c r="F1041" s="2" t="s">
        <v>9</v>
      </c>
      <c r="G1041" s="2" t="s">
        <v>1063</v>
      </c>
    </row>
    <row r="1042" spans="1:7" ht="37.5" x14ac:dyDescent="0.4">
      <c r="A1042" s="2">
        <v>1041</v>
      </c>
      <c r="B1042" s="2" t="s">
        <v>897</v>
      </c>
      <c r="C1042" s="2" t="str">
        <f>"988-0423"</f>
        <v>988-0423</v>
      </c>
      <c r="D1042" s="2" t="str">
        <f>"本吉郡南三陸町歌津枡沢77-1"</f>
        <v>本吉郡南三陸町歌津枡沢77-1</v>
      </c>
      <c r="E1042" s="2" t="s">
        <v>7</v>
      </c>
      <c r="F1042" s="2" t="s">
        <v>6</v>
      </c>
      <c r="G1042" s="2" t="s">
        <v>38</v>
      </c>
    </row>
    <row r="1043" spans="1:7" ht="37.5" x14ac:dyDescent="0.4">
      <c r="A1043" s="2">
        <v>1042</v>
      </c>
      <c r="B1043" s="2" t="s">
        <v>1761</v>
      </c>
      <c r="C1043" s="2" t="str">
        <f>"986-0725"</f>
        <v>986-0725</v>
      </c>
      <c r="D1043" s="2" t="str">
        <f>"本吉郡南三陸町志津川字沼田１４－1３"</f>
        <v>本吉郡南三陸町志津川字沼田１４－1３</v>
      </c>
      <c r="E1043" s="2" t="str">
        <f>"0226-46-2246  "</f>
        <v xml:space="preserve">0226-46-2246  </v>
      </c>
      <c r="F1043" s="2" t="s">
        <v>9</v>
      </c>
      <c r="G1043" s="2" t="s">
        <v>1129</v>
      </c>
    </row>
    <row r="1044" spans="1:7" ht="37.5" x14ac:dyDescent="0.4">
      <c r="A1044" s="2">
        <v>1043</v>
      </c>
      <c r="B1044" s="2" t="s">
        <v>1760</v>
      </c>
      <c r="C1044" s="2" t="str">
        <f>"986-0725"</f>
        <v>986-0725</v>
      </c>
      <c r="D1044" s="2" t="str">
        <f>"本吉郡南三陸町志津川字沼田１４－２２"</f>
        <v>本吉郡南三陸町志津川字沼田１４－２２</v>
      </c>
      <c r="E1044" s="2" t="str">
        <f>"0226-29-6315  "</f>
        <v xml:space="preserve">0226-29-6315  </v>
      </c>
      <c r="F1044" s="2" t="s">
        <v>9</v>
      </c>
      <c r="G1044" s="2" t="s">
        <v>1063</v>
      </c>
    </row>
    <row r="1045" spans="1:7" ht="37.5" x14ac:dyDescent="0.4">
      <c r="A1045" s="2">
        <v>1044</v>
      </c>
      <c r="B1045" s="2" t="s">
        <v>1872</v>
      </c>
      <c r="C1045" s="2" t="str">
        <f>"986-0725"</f>
        <v>986-0725</v>
      </c>
      <c r="D1045" s="2" t="str">
        <f>"本吉郡南三陸町志津川字沼田１４－３"</f>
        <v>本吉郡南三陸町志津川字沼田１４－３</v>
      </c>
      <c r="E1045" s="2" t="str">
        <f>"0226-46-5575  "</f>
        <v xml:space="preserve">0226-46-5575  </v>
      </c>
      <c r="F1045" s="2" t="s">
        <v>11</v>
      </c>
      <c r="G1045" s="2" t="s">
        <v>1151</v>
      </c>
    </row>
    <row r="1046" spans="1:7" ht="37.5" x14ac:dyDescent="0.4">
      <c r="A1046" s="2">
        <v>1045</v>
      </c>
      <c r="B1046" s="2" t="s">
        <v>898</v>
      </c>
      <c r="C1046" s="2" t="str">
        <f>"986-0725"</f>
        <v>986-0725</v>
      </c>
      <c r="D1046" s="2" t="str">
        <f>"本吉郡南三陸町志津川字沼田１４４－４５"</f>
        <v>本吉郡南三陸町志津川字沼田１４４－４５</v>
      </c>
      <c r="E1046" s="2" t="str">
        <f>"0226-47-1175  "</f>
        <v xml:space="preserve">0226-47-1175  </v>
      </c>
      <c r="F1046" s="2" t="s">
        <v>6</v>
      </c>
      <c r="G1046" s="2" t="s">
        <v>61</v>
      </c>
    </row>
    <row r="1047" spans="1:7" ht="56.25" x14ac:dyDescent="0.4">
      <c r="A1047" s="2">
        <v>1046</v>
      </c>
      <c r="B1047" s="2" t="s">
        <v>899</v>
      </c>
      <c r="C1047" s="2" t="str">
        <f>"986-0725"</f>
        <v>986-0725</v>
      </c>
      <c r="D1047" s="2" t="s">
        <v>900</v>
      </c>
      <c r="E1047" s="2" t="str">
        <f>"0226-46-3646  "</f>
        <v xml:space="preserve">0226-46-3646  </v>
      </c>
      <c r="F1047" s="2" t="s">
        <v>6</v>
      </c>
      <c r="G1047" s="2" t="s">
        <v>901</v>
      </c>
    </row>
    <row r="1048" spans="1:7" ht="37.5" x14ac:dyDescent="0.4">
      <c r="A1048" s="2">
        <v>1047</v>
      </c>
      <c r="B1048" s="2" t="s">
        <v>1758</v>
      </c>
      <c r="C1048" s="2" t="str">
        <f>"986-0725"</f>
        <v>986-0725</v>
      </c>
      <c r="D1048" s="2" t="str">
        <f>"本吉郡南三陸町志津川字沼田１５０－１４５"</f>
        <v>本吉郡南三陸町志津川字沼田１５０－１４５</v>
      </c>
      <c r="E1048" s="2" t="str">
        <f>"0226-47-2355  "</f>
        <v xml:space="preserve">0226-47-2355  </v>
      </c>
      <c r="F1048" s="2" t="s">
        <v>9</v>
      </c>
      <c r="G1048" s="2" t="s">
        <v>1063</v>
      </c>
    </row>
    <row r="1049" spans="1:7" ht="37.5" x14ac:dyDescent="0.4">
      <c r="A1049" s="2">
        <v>1048</v>
      </c>
      <c r="B1049" s="2" t="s">
        <v>279</v>
      </c>
      <c r="C1049" s="2" t="str">
        <f>"981-1247"</f>
        <v>981-1247</v>
      </c>
      <c r="D1049" s="2" t="str">
        <f>"名取市みどり台１－３－１"</f>
        <v>名取市みどり台１－３－１</v>
      </c>
      <c r="E1049" s="2" t="str">
        <f>"022-386-7220  "</f>
        <v xml:space="preserve">022-386-7220  </v>
      </c>
      <c r="F1049" s="2" t="s">
        <v>6</v>
      </c>
      <c r="G1049" s="2" t="s">
        <v>235</v>
      </c>
    </row>
    <row r="1050" spans="1:7" ht="37.5" x14ac:dyDescent="0.4">
      <c r="A1050" s="2">
        <v>1049</v>
      </c>
      <c r="B1050" s="2" t="s">
        <v>273</v>
      </c>
      <c r="C1050" s="2" t="str">
        <f>"981-1247"</f>
        <v>981-1247</v>
      </c>
      <c r="D1050" s="2" t="str">
        <f>"名取市みどり台2-4-3"</f>
        <v>名取市みどり台2-4-3</v>
      </c>
      <c r="E1050" s="2" t="str">
        <f>"022-386-8333  "</f>
        <v xml:space="preserve">022-386-8333  </v>
      </c>
      <c r="F1050" s="2" t="s">
        <v>6</v>
      </c>
      <c r="G1050" s="2" t="s">
        <v>274</v>
      </c>
    </row>
    <row r="1051" spans="1:7" ht="37.5" x14ac:dyDescent="0.4">
      <c r="A1051" s="2">
        <v>1050</v>
      </c>
      <c r="B1051" s="2" t="s">
        <v>1274</v>
      </c>
      <c r="C1051" s="2" t="str">
        <f>"981-1247"</f>
        <v>981-1247</v>
      </c>
      <c r="D1051" s="2" t="str">
        <f>"名取市みどり台２－４－５"</f>
        <v>名取市みどり台２－４－５</v>
      </c>
      <c r="E1051" s="2" t="str">
        <f>"022-381-3878  "</f>
        <v xml:space="preserve">022-381-3878  </v>
      </c>
      <c r="F1051" s="2" t="s">
        <v>9</v>
      </c>
      <c r="G1051" s="2" t="s">
        <v>1063</v>
      </c>
    </row>
    <row r="1052" spans="1:7" x14ac:dyDescent="0.4">
      <c r="A1052" s="2">
        <v>1051</v>
      </c>
      <c r="B1052" s="2" t="s">
        <v>280</v>
      </c>
      <c r="C1052" s="2" t="str">
        <f>"981-1230"</f>
        <v>981-1230</v>
      </c>
      <c r="D1052" s="2" t="str">
        <f>"名取市愛の杜１－２－１"</f>
        <v>名取市愛の杜１－２－１</v>
      </c>
      <c r="E1052" s="2" t="str">
        <f>"022-784-1550  "</f>
        <v xml:space="preserve">022-784-1550  </v>
      </c>
      <c r="F1052" s="2" t="s">
        <v>6</v>
      </c>
      <c r="G1052" s="2" t="s">
        <v>281</v>
      </c>
    </row>
    <row r="1053" spans="1:7" x14ac:dyDescent="0.4">
      <c r="A1053" s="2">
        <v>1052</v>
      </c>
      <c r="B1053" s="2" t="s">
        <v>1269</v>
      </c>
      <c r="C1053" s="2" t="str">
        <f>"981-1230"</f>
        <v>981-1230</v>
      </c>
      <c r="D1053" s="2" t="str">
        <f>"名取市愛の杜１－２－７"</f>
        <v>名取市愛の杜１－２－７</v>
      </c>
      <c r="E1053" s="2" t="str">
        <f>"022-381-1750  "</f>
        <v xml:space="preserve">022-381-1750  </v>
      </c>
      <c r="F1053" s="2" t="s">
        <v>9</v>
      </c>
      <c r="G1053" s="2" t="s">
        <v>1129</v>
      </c>
    </row>
    <row r="1054" spans="1:7" x14ac:dyDescent="0.4">
      <c r="A1054" s="2">
        <v>1053</v>
      </c>
      <c r="B1054" s="2" t="s">
        <v>963</v>
      </c>
      <c r="C1054" s="2" t="str">
        <f>"981-1230"</f>
        <v>981-1230</v>
      </c>
      <c r="D1054" s="2" t="str">
        <f>"名取市愛の杜1-3-11"</f>
        <v>名取市愛の杜1-3-11</v>
      </c>
      <c r="E1054" s="2" t="str">
        <f>"022-384-1840  "</f>
        <v xml:space="preserve">022-384-1840  </v>
      </c>
      <c r="F1054" s="2" t="s">
        <v>10</v>
      </c>
      <c r="G1054" s="2" t="s">
        <v>902</v>
      </c>
    </row>
    <row r="1055" spans="1:7" x14ac:dyDescent="0.4">
      <c r="A1055" s="2">
        <v>1054</v>
      </c>
      <c r="B1055" s="2" t="s">
        <v>1277</v>
      </c>
      <c r="C1055" s="2" t="str">
        <f>"981-1230"</f>
        <v>981-1230</v>
      </c>
      <c r="D1055" s="2" t="str">
        <f>"名取市愛の杜２－１－５"</f>
        <v>名取市愛の杜２－１－５</v>
      </c>
      <c r="E1055" s="2" t="str">
        <f>"022-384-6580  "</f>
        <v xml:space="preserve">022-384-6580  </v>
      </c>
      <c r="F1055" s="2" t="s">
        <v>9</v>
      </c>
      <c r="G1055" s="2" t="s">
        <v>1063</v>
      </c>
    </row>
    <row r="1056" spans="1:7" x14ac:dyDescent="0.4">
      <c r="A1056" s="2">
        <v>1055</v>
      </c>
      <c r="B1056" s="2" t="s">
        <v>294</v>
      </c>
      <c r="C1056" s="2" t="str">
        <f>"981-1230"</f>
        <v>981-1230</v>
      </c>
      <c r="D1056" s="2" t="str">
        <f>"名取市愛の杜２－１－６"</f>
        <v>名取市愛の杜２－１－６</v>
      </c>
      <c r="E1056" s="2" t="str">
        <f>"022-382-5612  "</f>
        <v xml:space="preserve">022-382-5612  </v>
      </c>
      <c r="F1056" s="2" t="s">
        <v>6</v>
      </c>
      <c r="G1056" s="2" t="s">
        <v>298</v>
      </c>
    </row>
    <row r="1057" spans="1:7" ht="37.5" x14ac:dyDescent="0.4">
      <c r="A1057" s="2">
        <v>1056</v>
      </c>
      <c r="B1057" s="2" t="s">
        <v>1257</v>
      </c>
      <c r="C1057" s="2" t="str">
        <f>"981-1239"</f>
        <v>981-1239</v>
      </c>
      <c r="D1057" s="2" t="s">
        <v>1258</v>
      </c>
      <c r="E1057" s="2" t="str">
        <f>"022-381-4181  "</f>
        <v xml:space="preserve">022-381-4181  </v>
      </c>
      <c r="F1057" s="2" t="s">
        <v>9</v>
      </c>
      <c r="G1057" s="2" t="s">
        <v>1063</v>
      </c>
    </row>
    <row r="1058" spans="1:7" ht="150" x14ac:dyDescent="0.4">
      <c r="A1058" s="2">
        <v>1057</v>
      </c>
      <c r="B1058" s="2" t="s">
        <v>284</v>
      </c>
      <c r="C1058" s="2" t="str">
        <f>"981-1293"</f>
        <v>981-1293</v>
      </c>
      <c r="D1058" s="2" t="str">
        <f>"名取市愛島塩手字野田山４７－１"</f>
        <v>名取市愛島塩手字野田山４７－１</v>
      </c>
      <c r="E1058" s="2" t="str">
        <f>"022-384-3151  "</f>
        <v xml:space="preserve">022-384-3151  </v>
      </c>
      <c r="F1058" s="2" t="s">
        <v>6</v>
      </c>
      <c r="G1058" s="2" t="s">
        <v>285</v>
      </c>
    </row>
    <row r="1059" spans="1:7" ht="37.5" x14ac:dyDescent="0.4">
      <c r="A1059" s="2">
        <v>1058</v>
      </c>
      <c r="B1059" s="2" t="s">
        <v>1280</v>
      </c>
      <c r="C1059" s="2" t="str">
        <f>"981-1240"</f>
        <v>981-1240</v>
      </c>
      <c r="D1059" s="2" t="str">
        <f>"名取市愛島郷１－１６－２５"</f>
        <v>名取市愛島郷１－１６－２５</v>
      </c>
      <c r="E1059" s="2" t="str">
        <f>"022-393-8137  "</f>
        <v xml:space="preserve">022-393-8137  </v>
      </c>
      <c r="F1059" s="2" t="s">
        <v>9</v>
      </c>
      <c r="G1059" s="2" t="s">
        <v>1063</v>
      </c>
    </row>
    <row r="1060" spans="1:7" ht="37.5" x14ac:dyDescent="0.4">
      <c r="A1060" s="2">
        <v>1059</v>
      </c>
      <c r="B1060" s="2" t="s">
        <v>304</v>
      </c>
      <c r="C1060" s="2" t="str">
        <f>"981-1240"</f>
        <v>981-1240</v>
      </c>
      <c r="D1060" s="2" t="str">
        <f>"名取市愛島郷１－１６－２８"</f>
        <v>名取市愛島郷１－１６－２８</v>
      </c>
      <c r="E1060" s="2" t="str">
        <f>"022-302-6551  "</f>
        <v xml:space="preserve">022-302-6551  </v>
      </c>
      <c r="F1060" s="2" t="s">
        <v>6</v>
      </c>
      <c r="G1060" s="2" t="s">
        <v>150</v>
      </c>
    </row>
    <row r="1061" spans="1:7" x14ac:dyDescent="0.4">
      <c r="A1061" s="2">
        <v>1060</v>
      </c>
      <c r="B1061" s="2" t="s">
        <v>1279</v>
      </c>
      <c r="C1061" s="2" t="str">
        <f>"981-1223"</f>
        <v>981-1223</v>
      </c>
      <c r="D1061" s="2" t="s">
        <v>1256</v>
      </c>
      <c r="E1061" s="2" t="str">
        <f>"022-281-9661  "</f>
        <v xml:space="preserve">022-281-9661  </v>
      </c>
      <c r="F1061" s="2" t="s">
        <v>9</v>
      </c>
      <c r="G1061" s="2" t="s">
        <v>1063</v>
      </c>
    </row>
    <row r="1062" spans="1:7" ht="37.5" x14ac:dyDescent="0.4">
      <c r="A1062" s="2">
        <v>1061</v>
      </c>
      <c r="B1062" s="2" t="s">
        <v>295</v>
      </c>
      <c r="C1062" s="2" t="str">
        <f>"981-1223"</f>
        <v>981-1223</v>
      </c>
      <c r="D1062" s="2" t="str">
        <f>"名取市下余田字鹿島８６－５"</f>
        <v>名取市下余田字鹿島８６－５</v>
      </c>
      <c r="E1062" s="2" t="str">
        <f>"022-383-3070  "</f>
        <v xml:space="preserve">022-383-3070  </v>
      </c>
      <c r="F1062" s="2" t="s">
        <v>6</v>
      </c>
      <c r="G1062" s="2" t="s">
        <v>38</v>
      </c>
    </row>
    <row r="1063" spans="1:7" ht="37.5" x14ac:dyDescent="0.4">
      <c r="A1063" s="2">
        <v>1062</v>
      </c>
      <c r="B1063" s="2" t="s">
        <v>1293</v>
      </c>
      <c r="C1063" s="2" t="str">
        <f>"981-1242"</f>
        <v>981-1242</v>
      </c>
      <c r="D1063" s="2" t="str">
        <f>"名取市高館吉田字前沖２１１－３"</f>
        <v>名取市高館吉田字前沖２１１－３</v>
      </c>
      <c r="E1063" s="2" t="str">
        <f>"022-395-5915  "</f>
        <v xml:space="preserve">022-395-5915  </v>
      </c>
      <c r="F1063" s="2" t="s">
        <v>9</v>
      </c>
      <c r="G1063" s="2" t="s">
        <v>1063</v>
      </c>
    </row>
    <row r="1064" spans="1:7" ht="37.5" x14ac:dyDescent="0.4">
      <c r="A1064" s="2">
        <v>1063</v>
      </c>
      <c r="B1064" s="2" t="s">
        <v>316</v>
      </c>
      <c r="C1064" s="2" t="str">
        <f>"981-1242"</f>
        <v>981-1242</v>
      </c>
      <c r="D1064" s="2" t="s">
        <v>317</v>
      </c>
      <c r="E1064" s="2" t="str">
        <f>"022-797-9393  "</f>
        <v xml:space="preserve">022-797-9393  </v>
      </c>
      <c r="F1064" s="2" t="s">
        <v>6</v>
      </c>
      <c r="G1064" s="2" t="s">
        <v>318</v>
      </c>
    </row>
    <row r="1065" spans="1:7" ht="37.5" x14ac:dyDescent="0.4">
      <c r="A1065" s="2">
        <v>1064</v>
      </c>
      <c r="B1065" s="2" t="s">
        <v>1300</v>
      </c>
      <c r="C1065" s="2" t="str">
        <f>"981-1241"</f>
        <v>981-1241</v>
      </c>
      <c r="D1065" s="2" t="s">
        <v>1301</v>
      </c>
      <c r="E1065" s="2" t="str">
        <f>"022-354-8324  "</f>
        <v xml:space="preserve">022-354-8324  </v>
      </c>
      <c r="F1065" s="2" t="s">
        <v>9</v>
      </c>
      <c r="G1065" s="2" t="s">
        <v>1063</v>
      </c>
    </row>
    <row r="1066" spans="1:7" ht="37.5" x14ac:dyDescent="0.4">
      <c r="A1066" s="2">
        <v>1065</v>
      </c>
      <c r="B1066" s="2" t="s">
        <v>248</v>
      </c>
      <c r="C1066" s="2" t="str">
        <f>"981-1241"</f>
        <v>981-1241</v>
      </c>
      <c r="D1066" s="2" t="str">
        <f>"名取市高舘熊野堂字岩口下６８-１"</f>
        <v>名取市高舘熊野堂字岩口下６８-１</v>
      </c>
      <c r="E1066" s="2" t="str">
        <f>"022-386-2131  "</f>
        <v xml:space="preserve">022-386-2131  </v>
      </c>
      <c r="F1066" s="2" t="s">
        <v>6</v>
      </c>
      <c r="G1066" s="2" t="s">
        <v>46</v>
      </c>
    </row>
    <row r="1067" spans="1:7" ht="37.5" x14ac:dyDescent="0.4">
      <c r="A1067" s="2">
        <v>1066</v>
      </c>
      <c r="B1067" s="2" t="s">
        <v>1797</v>
      </c>
      <c r="C1067" s="2" t="str">
        <f>"981-1231"</f>
        <v>981-1231</v>
      </c>
      <c r="D1067" s="2" t="s">
        <v>1796</v>
      </c>
      <c r="E1067" s="2" t="str">
        <f>"022-398-3828  "</f>
        <v xml:space="preserve">022-398-3828  </v>
      </c>
      <c r="F1067" s="2" t="s">
        <v>11</v>
      </c>
      <c r="G1067" s="2" t="s">
        <v>1151</v>
      </c>
    </row>
    <row r="1068" spans="1:7" ht="37.5" x14ac:dyDescent="0.4">
      <c r="A1068" s="2">
        <v>1067</v>
      </c>
      <c r="B1068" s="2" t="s">
        <v>261</v>
      </c>
      <c r="C1068" s="2" t="str">
        <f>"981-1231"</f>
        <v>981-1231</v>
      </c>
      <c r="D1068" s="2" t="s">
        <v>262</v>
      </c>
      <c r="E1068" s="2" t="str">
        <f>"022-384-7225  "</f>
        <v xml:space="preserve">022-384-7225  </v>
      </c>
      <c r="F1068" s="2" t="s">
        <v>6</v>
      </c>
      <c r="G1068" s="2" t="s">
        <v>263</v>
      </c>
    </row>
    <row r="1069" spans="1:7" x14ac:dyDescent="0.4">
      <c r="A1069" s="2">
        <v>1068</v>
      </c>
      <c r="B1069" s="2" t="s">
        <v>282</v>
      </c>
      <c r="C1069" s="2" t="str">
        <f>"981-1231"</f>
        <v>981-1231</v>
      </c>
      <c r="D1069" s="2" t="s">
        <v>246</v>
      </c>
      <c r="E1069" s="2" t="str">
        <f>"022-384-2236  "</f>
        <v xml:space="preserve">022-384-2236  </v>
      </c>
      <c r="F1069" s="2" t="s">
        <v>6</v>
      </c>
      <c r="G1069" s="2" t="s">
        <v>283</v>
      </c>
    </row>
    <row r="1070" spans="1:7" ht="37.5" x14ac:dyDescent="0.4">
      <c r="A1070" s="2">
        <v>1069</v>
      </c>
      <c r="B1070" s="2" t="s">
        <v>1795</v>
      </c>
      <c r="C1070" s="2" t="str">
        <f>"981-1231"</f>
        <v>981-1231</v>
      </c>
      <c r="D1070" s="2" t="s">
        <v>246</v>
      </c>
      <c r="E1070" s="2" t="str">
        <f>"022-384-2236  "</f>
        <v xml:space="preserve">022-384-2236  </v>
      </c>
      <c r="F1070" s="2" t="s">
        <v>11</v>
      </c>
      <c r="G1070" s="2" t="s">
        <v>1151</v>
      </c>
    </row>
    <row r="1071" spans="1:7" ht="37.5" x14ac:dyDescent="0.4">
      <c r="A1071" s="2">
        <v>1070</v>
      </c>
      <c r="B1071" s="2" t="s">
        <v>275</v>
      </c>
      <c r="C1071" s="2" t="str">
        <f>"981-1231"</f>
        <v>981-1231</v>
      </c>
      <c r="D1071" s="2" t="s">
        <v>276</v>
      </c>
      <c r="E1071" s="2" t="str">
        <f>"022-381-5233  "</f>
        <v xml:space="preserve">022-381-5233  </v>
      </c>
      <c r="F1071" s="2" t="s">
        <v>6</v>
      </c>
      <c r="G1071" s="2" t="s">
        <v>122</v>
      </c>
    </row>
    <row r="1072" spans="1:7" ht="37.5" x14ac:dyDescent="0.4">
      <c r="A1072" s="2">
        <v>1071</v>
      </c>
      <c r="B1072" s="2" t="s">
        <v>1263</v>
      </c>
      <c r="C1072" s="2" t="str">
        <f>"981-1231"</f>
        <v>981-1231</v>
      </c>
      <c r="D1072" s="2" t="str">
        <f>"名取市手倉田字箱塚屋敷　９－５"</f>
        <v>名取市手倉田字箱塚屋敷　９－５</v>
      </c>
      <c r="E1072" s="2" t="str">
        <f>"022-382-8639  "</f>
        <v xml:space="preserve">022-382-8639  </v>
      </c>
      <c r="F1072" s="2" t="s">
        <v>9</v>
      </c>
      <c r="G1072" s="2" t="s">
        <v>1063</v>
      </c>
    </row>
    <row r="1073" spans="1:7" ht="37.5" x14ac:dyDescent="0.4">
      <c r="A1073" s="2">
        <v>1072</v>
      </c>
      <c r="B1073" s="2" t="s">
        <v>1261</v>
      </c>
      <c r="C1073" s="2" t="str">
        <f>"981-1231"</f>
        <v>981-1231</v>
      </c>
      <c r="D1073" s="2" t="s">
        <v>1262</v>
      </c>
      <c r="E1073" s="2" t="str">
        <f>"022-381-6531  "</f>
        <v xml:space="preserve">022-381-6531  </v>
      </c>
      <c r="F1073" s="2" t="s">
        <v>9</v>
      </c>
      <c r="G1073" s="2" t="s">
        <v>1063</v>
      </c>
    </row>
    <row r="1074" spans="1:7" ht="56.25" x14ac:dyDescent="0.4">
      <c r="A1074" s="2">
        <v>1073</v>
      </c>
      <c r="B1074" s="2" t="s">
        <v>1801</v>
      </c>
      <c r="C1074" s="2" t="str">
        <f>"981-1231"</f>
        <v>981-1231</v>
      </c>
      <c r="D1074" s="2" t="str">
        <f>"名取市手倉田字八幡１５２－１セジュール八幡Ⅲ　１０２"</f>
        <v>名取市手倉田字八幡１５２－１セジュール八幡Ⅲ　１０２</v>
      </c>
      <c r="E1074" s="2" t="str">
        <f>"022-724-7295  "</f>
        <v xml:space="preserve">022-724-7295  </v>
      </c>
      <c r="F1074" s="2" t="s">
        <v>11</v>
      </c>
      <c r="G1074" s="2" t="s">
        <v>1151</v>
      </c>
    </row>
    <row r="1075" spans="1:7" ht="37.5" x14ac:dyDescent="0.4">
      <c r="A1075" s="2">
        <v>1074</v>
      </c>
      <c r="B1075" s="2" t="s">
        <v>277</v>
      </c>
      <c r="C1075" s="2" t="str">
        <f>"981-1231"</f>
        <v>981-1231</v>
      </c>
      <c r="D1075" s="2" t="str">
        <f>"名取市手倉田字八幡３３８－８"</f>
        <v>名取市手倉田字八幡３３８－８</v>
      </c>
      <c r="E1075" s="2" t="str">
        <f>"022-381-6868  "</f>
        <v xml:space="preserve">022-381-6868  </v>
      </c>
      <c r="F1075" s="2" t="s">
        <v>6</v>
      </c>
      <c r="G1075" s="2" t="s">
        <v>122</v>
      </c>
    </row>
    <row r="1076" spans="1:7" ht="56.25" x14ac:dyDescent="0.4">
      <c r="A1076" s="2">
        <v>1075</v>
      </c>
      <c r="B1076" s="2" t="s">
        <v>964</v>
      </c>
      <c r="C1076" s="2" t="str">
        <f>"981-1231"</f>
        <v>981-1231</v>
      </c>
      <c r="D1076" s="2" t="s">
        <v>965</v>
      </c>
      <c r="E1076" s="2" t="str">
        <f>"022-383-8816  "</f>
        <v xml:space="preserve">022-383-8816  </v>
      </c>
      <c r="F1076" s="2" t="s">
        <v>6</v>
      </c>
      <c r="G1076" s="2" t="s">
        <v>966</v>
      </c>
    </row>
    <row r="1077" spans="1:7" ht="37.5" x14ac:dyDescent="0.4">
      <c r="A1077" s="2">
        <v>1076</v>
      </c>
      <c r="B1077" s="2" t="s">
        <v>253</v>
      </c>
      <c r="C1077" s="2" t="str">
        <f>"981-1231"</f>
        <v>981-1231</v>
      </c>
      <c r="D1077" s="2" t="s">
        <v>254</v>
      </c>
      <c r="E1077" s="2" t="str">
        <f>"022-384-1883  "</f>
        <v xml:space="preserve">022-384-1883  </v>
      </c>
      <c r="F1077" s="2" t="s">
        <v>6</v>
      </c>
      <c r="G1077" s="2" t="s">
        <v>255</v>
      </c>
    </row>
    <row r="1078" spans="1:7" ht="37.5" x14ac:dyDescent="0.4">
      <c r="A1078" s="2">
        <v>1077</v>
      </c>
      <c r="B1078" s="2" t="s">
        <v>269</v>
      </c>
      <c r="C1078" s="2" t="str">
        <f>"981-1233"</f>
        <v>981-1233</v>
      </c>
      <c r="D1078" s="2" t="s">
        <v>270</v>
      </c>
      <c r="E1078" s="2" t="str">
        <f>"022-383-5445  "</f>
        <v xml:space="preserve">022-383-5445  </v>
      </c>
      <c r="F1078" s="2" t="s">
        <v>6</v>
      </c>
      <c r="G1078" s="2" t="s">
        <v>48</v>
      </c>
    </row>
    <row r="1079" spans="1:7" ht="37.5" x14ac:dyDescent="0.4">
      <c r="A1079" s="2">
        <v>1078</v>
      </c>
      <c r="B1079" s="2" t="s">
        <v>256</v>
      </c>
      <c r="C1079" s="2" t="str">
        <f>"981-1233"</f>
        <v>981-1233</v>
      </c>
      <c r="D1079" s="2" t="s">
        <v>257</v>
      </c>
      <c r="E1079" s="2" t="str">
        <f>"022-382-3388  "</f>
        <v xml:space="preserve">022-382-3388  </v>
      </c>
      <c r="F1079" s="2" t="s">
        <v>6</v>
      </c>
      <c r="G1079" s="2" t="s">
        <v>34</v>
      </c>
    </row>
    <row r="1080" spans="1:7" x14ac:dyDescent="0.4">
      <c r="A1080" s="2">
        <v>1079</v>
      </c>
      <c r="B1080" s="2" t="s">
        <v>1265</v>
      </c>
      <c r="C1080" s="2" t="str">
        <f>"981-1233"</f>
        <v>981-1233</v>
      </c>
      <c r="D1080" s="2" t="str">
        <f>"名取市小山２－１－３"</f>
        <v>名取市小山２－１－３</v>
      </c>
      <c r="E1080" s="2" t="str">
        <f>"022-382-7820  "</f>
        <v xml:space="preserve">022-382-7820  </v>
      </c>
      <c r="F1080" s="2" t="s">
        <v>9</v>
      </c>
      <c r="G1080" s="2" t="s">
        <v>1063</v>
      </c>
    </row>
    <row r="1081" spans="1:7" x14ac:dyDescent="0.4">
      <c r="A1081" s="2">
        <v>1080</v>
      </c>
      <c r="B1081" s="2" t="s">
        <v>1255</v>
      </c>
      <c r="C1081" s="2" t="str">
        <f>"981-1233"</f>
        <v>981-1233</v>
      </c>
      <c r="D1081" s="2" t="str">
        <f>"名取市小山２－２－４３"</f>
        <v>名取市小山２－２－４３</v>
      </c>
      <c r="E1081" s="2" t="str">
        <f>"022-384-1607  "</f>
        <v xml:space="preserve">022-384-1607  </v>
      </c>
      <c r="F1081" s="2" t="s">
        <v>9</v>
      </c>
      <c r="G1081" s="2" t="s">
        <v>1063</v>
      </c>
    </row>
    <row r="1082" spans="1:7" ht="37.5" x14ac:dyDescent="0.4">
      <c r="A1082" s="2">
        <v>1081</v>
      </c>
      <c r="B1082" s="2" t="s">
        <v>1266</v>
      </c>
      <c r="C1082" s="2" t="str">
        <f>"981-1233"</f>
        <v>981-1233</v>
      </c>
      <c r="D1082" s="2" t="str">
        <f>"名取市小山２－３－２６－１"</f>
        <v>名取市小山２－３－２６－１</v>
      </c>
      <c r="E1082" s="2" t="str">
        <f>"022-383-6280  "</f>
        <v xml:space="preserve">022-383-6280  </v>
      </c>
      <c r="F1082" s="2" t="s">
        <v>9</v>
      </c>
      <c r="G1082" s="2" t="s">
        <v>1063</v>
      </c>
    </row>
    <row r="1083" spans="1:7" x14ac:dyDescent="0.4">
      <c r="A1083" s="2">
        <v>1082</v>
      </c>
      <c r="B1083" s="2" t="s">
        <v>1282</v>
      </c>
      <c r="C1083" s="2" t="str">
        <f>"981-1222"</f>
        <v>981-1222</v>
      </c>
      <c r="D1083" s="2" t="s">
        <v>1283</v>
      </c>
      <c r="E1083" s="2" t="str">
        <f>"022-381-6722  "</f>
        <v xml:space="preserve">022-381-6722  </v>
      </c>
      <c r="F1083" s="2" t="s">
        <v>9</v>
      </c>
      <c r="G1083" s="2" t="s">
        <v>1129</v>
      </c>
    </row>
    <row r="1084" spans="1:7" ht="37.5" x14ac:dyDescent="0.4">
      <c r="A1084" s="2">
        <v>1083</v>
      </c>
      <c r="B1084" s="2" t="s">
        <v>266</v>
      </c>
      <c r="C1084" s="2" t="str">
        <f>"981-1222"</f>
        <v>981-1222</v>
      </c>
      <c r="D1084" s="2" t="s">
        <v>267</v>
      </c>
      <c r="E1084" s="2" t="str">
        <f>"022-381-5035  "</f>
        <v xml:space="preserve">022-381-5035  </v>
      </c>
      <c r="F1084" s="2" t="s">
        <v>6</v>
      </c>
      <c r="G1084" s="2" t="s">
        <v>268</v>
      </c>
    </row>
    <row r="1085" spans="1:7" ht="37.5" x14ac:dyDescent="0.4">
      <c r="A1085" s="2">
        <v>1084</v>
      </c>
      <c r="B1085" s="2" t="s">
        <v>1302</v>
      </c>
      <c r="C1085" s="2" t="str">
        <f>"981-1222"</f>
        <v>981-1222</v>
      </c>
      <c r="D1085" s="2" t="str">
        <f>"名取市上余田字市ノ坪２７５－２"</f>
        <v>名取市上余田字市ノ坪２７５－２</v>
      </c>
      <c r="E1085" s="2" t="str">
        <f>"022-381-1527  "</f>
        <v xml:space="preserve">022-381-1527  </v>
      </c>
      <c r="F1085" s="2" t="s">
        <v>9</v>
      </c>
      <c r="G1085" s="2" t="s">
        <v>1063</v>
      </c>
    </row>
    <row r="1086" spans="1:7" ht="37.5" x14ac:dyDescent="0.4">
      <c r="A1086" s="2">
        <v>1085</v>
      </c>
      <c r="B1086" s="2" t="s">
        <v>271</v>
      </c>
      <c r="C1086" s="2" t="str">
        <f>"981-1226"</f>
        <v>981-1226</v>
      </c>
      <c r="D1086" s="2" t="str">
        <f>"名取市植松　４－１７－１６"</f>
        <v>名取市植松　４－１７－１６</v>
      </c>
      <c r="E1086" s="2" t="str">
        <f>"022-383-6677  "</f>
        <v xml:space="preserve">022-383-6677  </v>
      </c>
      <c r="F1086" s="2" t="s">
        <v>6</v>
      </c>
      <c r="G1086" s="2" t="s">
        <v>272</v>
      </c>
    </row>
    <row r="1087" spans="1:7" ht="37.5" x14ac:dyDescent="0.4">
      <c r="A1087" s="2">
        <v>1086</v>
      </c>
      <c r="B1087" s="2" t="s">
        <v>951</v>
      </c>
      <c r="C1087" s="2" t="str">
        <f>"981-1226"</f>
        <v>981-1226</v>
      </c>
      <c r="D1087" s="2" t="str">
        <f>"名取市植松　４－１８－１３"</f>
        <v>名取市植松　４－１８－１３</v>
      </c>
      <c r="E1087" s="2" t="str">
        <f>"022-383-0763  "</f>
        <v xml:space="preserve">022-383-0763  </v>
      </c>
      <c r="F1087" s="2" t="s">
        <v>6</v>
      </c>
      <c r="G1087" s="2" t="s">
        <v>902</v>
      </c>
    </row>
    <row r="1088" spans="1:7" ht="37.5" x14ac:dyDescent="0.4">
      <c r="A1088" s="2">
        <v>1087</v>
      </c>
      <c r="B1088" s="2" t="s">
        <v>1799</v>
      </c>
      <c r="C1088" s="2" t="str">
        <f>"981-1226"</f>
        <v>981-1226</v>
      </c>
      <c r="D1088" s="2" t="str">
        <f>"名取市植松4-17-33コーポマツシマ101号室"</f>
        <v>名取市植松4-17-33コーポマツシマ101号室</v>
      </c>
      <c r="E1088" s="2" t="str">
        <f>"022-796-9575  "</f>
        <v xml:space="preserve">022-796-9575  </v>
      </c>
      <c r="F1088" s="2" t="s">
        <v>11</v>
      </c>
      <c r="G1088" s="2" t="s">
        <v>1151</v>
      </c>
    </row>
    <row r="1089" spans="1:7" x14ac:dyDescent="0.4">
      <c r="A1089" s="2">
        <v>1088</v>
      </c>
      <c r="B1089" s="2" t="s">
        <v>1281</v>
      </c>
      <c r="C1089" s="2" t="str">
        <f>"981-1226"</f>
        <v>981-1226</v>
      </c>
      <c r="D1089" s="2" t="str">
        <f>"名取市植松4丁目17-17"</f>
        <v>名取市植松4丁目17-17</v>
      </c>
      <c r="E1089" s="2" t="str">
        <f>"022-381-1234  "</f>
        <v xml:space="preserve">022-381-1234  </v>
      </c>
      <c r="F1089" s="2" t="s">
        <v>9</v>
      </c>
      <c r="G1089" s="2" t="s">
        <v>1063</v>
      </c>
    </row>
    <row r="1090" spans="1:7" ht="37.5" x14ac:dyDescent="0.4">
      <c r="A1090" s="2">
        <v>1089</v>
      </c>
      <c r="B1090" s="2" t="s">
        <v>1793</v>
      </c>
      <c r="C1090" s="2" t="str">
        <f>"981-1226"</f>
        <v>981-1226</v>
      </c>
      <c r="D1090" s="2" t="s">
        <v>1794</v>
      </c>
      <c r="E1090" s="2" t="str">
        <f>"022-381-6520  "</f>
        <v xml:space="preserve">022-381-6520  </v>
      </c>
      <c r="F1090" s="2" t="s">
        <v>11</v>
      </c>
      <c r="G1090" s="2" t="s">
        <v>1151</v>
      </c>
    </row>
    <row r="1091" spans="1:7" ht="37.5" x14ac:dyDescent="0.4">
      <c r="A1091" s="2">
        <v>1090</v>
      </c>
      <c r="B1091" s="2" t="s">
        <v>1259</v>
      </c>
      <c r="C1091" s="2" t="str">
        <f>"981-1214"</f>
        <v>981-1214</v>
      </c>
      <c r="D1091" s="2" t="s">
        <v>1260</v>
      </c>
      <c r="E1091" s="2" t="str">
        <f>"022-381-6210  "</f>
        <v xml:space="preserve">022-381-6210  </v>
      </c>
      <c r="F1091" s="2" t="s">
        <v>9</v>
      </c>
      <c r="G1091" s="2" t="s">
        <v>1063</v>
      </c>
    </row>
    <row r="1092" spans="1:7" ht="37.5" x14ac:dyDescent="0.4">
      <c r="A1092" s="2">
        <v>1091</v>
      </c>
      <c r="B1092" s="2" t="s">
        <v>952</v>
      </c>
      <c r="C1092" s="2" t="str">
        <f>"981-1246"</f>
        <v>981-1246</v>
      </c>
      <c r="D1092" s="2" t="s">
        <v>953</v>
      </c>
      <c r="E1092" s="2" t="str">
        <f>"022-386-1825  "</f>
        <v xml:space="preserve">022-386-1825  </v>
      </c>
      <c r="F1092" s="2" t="s">
        <v>6</v>
      </c>
      <c r="G1092" s="2" t="s">
        <v>902</v>
      </c>
    </row>
    <row r="1093" spans="1:7" ht="37.5" x14ac:dyDescent="0.4">
      <c r="A1093" s="2">
        <v>1092</v>
      </c>
      <c r="B1093" s="2" t="s">
        <v>252</v>
      </c>
      <c r="C1093" s="2" t="str">
        <f>"981-1224"</f>
        <v>981-1224</v>
      </c>
      <c r="D1093" s="2" t="str">
        <f>"名取市増田　２－６－１２"</f>
        <v>名取市増田　２－６－１２</v>
      </c>
      <c r="E1093" s="2" t="str">
        <f>"022-384-3428  "</f>
        <v xml:space="preserve">022-384-3428  </v>
      </c>
      <c r="F1093" s="2" t="s">
        <v>6</v>
      </c>
      <c r="G1093" s="2" t="s">
        <v>48</v>
      </c>
    </row>
    <row r="1094" spans="1:7" ht="37.5" x14ac:dyDescent="0.4">
      <c r="A1094" s="2">
        <v>1093</v>
      </c>
      <c r="B1094" s="2" t="s">
        <v>958</v>
      </c>
      <c r="C1094" s="2" t="str">
        <f>"981-1224"</f>
        <v>981-1224</v>
      </c>
      <c r="D1094" s="2" t="s">
        <v>959</v>
      </c>
      <c r="E1094" s="2" t="str">
        <f>"022-382-8677  "</f>
        <v xml:space="preserve">022-382-8677  </v>
      </c>
      <c r="F1094" s="2" t="s">
        <v>6</v>
      </c>
      <c r="G1094" s="2" t="s">
        <v>941</v>
      </c>
    </row>
    <row r="1095" spans="1:7" ht="37.5" x14ac:dyDescent="0.4">
      <c r="A1095" s="2">
        <v>1094</v>
      </c>
      <c r="B1095" s="2" t="s">
        <v>1271</v>
      </c>
      <c r="C1095" s="2" t="str">
        <f>"981-1224"</f>
        <v>981-1224</v>
      </c>
      <c r="D1095" s="2" t="str">
        <f>"名取市増田１－１３－１２"</f>
        <v>名取市増田１－１３－１２</v>
      </c>
      <c r="E1095" s="2" t="str">
        <f>"022-384-1783  "</f>
        <v xml:space="preserve">022-384-1783  </v>
      </c>
      <c r="F1095" s="2" t="s">
        <v>9</v>
      </c>
      <c r="G1095" s="2" t="s">
        <v>1063</v>
      </c>
    </row>
    <row r="1096" spans="1:7" ht="37.5" x14ac:dyDescent="0.4">
      <c r="A1096" s="2">
        <v>1095</v>
      </c>
      <c r="B1096" s="2" t="s">
        <v>327</v>
      </c>
      <c r="C1096" s="2" t="str">
        <f>"981-1224"</f>
        <v>981-1224</v>
      </c>
      <c r="D1096" s="2" t="str">
        <f>"名取市増田１丁目９－２１"</f>
        <v>名取市増田１丁目９－２１</v>
      </c>
      <c r="E1096" s="2" t="str">
        <f>"022-384-5171  "</f>
        <v xml:space="preserve">022-384-5171  </v>
      </c>
      <c r="F1096" s="2" t="s">
        <v>6</v>
      </c>
      <c r="G1096" s="2" t="s">
        <v>38</v>
      </c>
    </row>
    <row r="1097" spans="1:7" x14ac:dyDescent="0.4">
      <c r="A1097" s="2">
        <v>1096</v>
      </c>
      <c r="B1097" s="2" t="s">
        <v>960</v>
      </c>
      <c r="C1097" s="2" t="str">
        <f>"981-1224"</f>
        <v>981-1224</v>
      </c>
      <c r="D1097" s="2" t="str">
        <f>"名取市増田２－３－３６"</f>
        <v>名取市増田２－３－３６</v>
      </c>
      <c r="E1097" s="2" t="str">
        <f>"022-382-3343  "</f>
        <v xml:space="preserve">022-382-3343  </v>
      </c>
      <c r="F1097" s="2" t="s">
        <v>6</v>
      </c>
      <c r="G1097" s="2" t="s">
        <v>941</v>
      </c>
    </row>
    <row r="1098" spans="1:7" x14ac:dyDescent="0.4">
      <c r="A1098" s="2">
        <v>1097</v>
      </c>
      <c r="B1098" s="2" t="s">
        <v>258</v>
      </c>
      <c r="C1098" s="2" t="str">
        <f>"981-1224"</f>
        <v>981-1224</v>
      </c>
      <c r="D1098" s="2" t="str">
        <f>"名取市増田２－６－１１"</f>
        <v>名取市増田２－６－１１</v>
      </c>
      <c r="E1098" s="2" t="str">
        <f>"022-382-3100  "</f>
        <v xml:space="preserve">022-382-3100  </v>
      </c>
      <c r="F1098" s="2" t="s">
        <v>6</v>
      </c>
      <c r="G1098" s="2" t="s">
        <v>38</v>
      </c>
    </row>
    <row r="1099" spans="1:7" ht="37.5" x14ac:dyDescent="0.4">
      <c r="A1099" s="2">
        <v>1098</v>
      </c>
      <c r="B1099" s="2" t="s">
        <v>250</v>
      </c>
      <c r="C1099" s="2" t="str">
        <f>"981-1224"</f>
        <v>981-1224</v>
      </c>
      <c r="D1099" s="2" t="str">
        <f>"名取市増田６－２－８"</f>
        <v>名取市増田６－２－８</v>
      </c>
      <c r="E1099" s="2" t="str">
        <f>"022-384-8052  "</f>
        <v xml:space="preserve">022-384-8052  </v>
      </c>
      <c r="F1099" s="2" t="s">
        <v>6</v>
      </c>
      <c r="G1099" s="2" t="s">
        <v>251</v>
      </c>
    </row>
    <row r="1100" spans="1:7" ht="56.25" x14ac:dyDescent="0.4">
      <c r="A1100" s="2">
        <v>1099</v>
      </c>
      <c r="B1100" s="2" t="s">
        <v>1798</v>
      </c>
      <c r="C1100" s="2" t="str">
        <f>"981-1224"</f>
        <v>981-1224</v>
      </c>
      <c r="D1100" s="2" t="str">
        <f>"名取市増田７－３－２３マイタウン名取Ａ１２－１"</f>
        <v>名取市増田７－３－２３マイタウン名取Ａ１２－１</v>
      </c>
      <c r="E1100" s="2" t="str">
        <f>"022-796-0261  "</f>
        <v xml:space="preserve">022-796-0261  </v>
      </c>
      <c r="F1100" s="2" t="s">
        <v>11</v>
      </c>
      <c r="G1100" s="2" t="s">
        <v>1151</v>
      </c>
    </row>
    <row r="1101" spans="1:7" x14ac:dyDescent="0.4">
      <c r="A1101" s="2">
        <v>1100</v>
      </c>
      <c r="B1101" s="2" t="s">
        <v>1264</v>
      </c>
      <c r="C1101" s="2" t="str">
        <f>"981-1224"</f>
        <v>981-1224</v>
      </c>
      <c r="D1101" s="2" t="str">
        <f>"名取市増田７－３－３"</f>
        <v>名取市増田７－３－３</v>
      </c>
      <c r="E1101" s="2" t="str">
        <f>"022-381-1226  "</f>
        <v xml:space="preserve">022-381-1226  </v>
      </c>
      <c r="F1101" s="2" t="s">
        <v>9</v>
      </c>
      <c r="G1101" s="2" t="s">
        <v>1063</v>
      </c>
    </row>
    <row r="1102" spans="1:7" x14ac:dyDescent="0.4">
      <c r="A1102" s="2">
        <v>1101</v>
      </c>
      <c r="B1102" s="2" t="s">
        <v>278</v>
      </c>
      <c r="C1102" s="2" t="str">
        <f>"981-1224"</f>
        <v>981-1224</v>
      </c>
      <c r="D1102" s="2" t="str">
        <f>"名取市増田７－３－９"</f>
        <v>名取市増田７－３－９</v>
      </c>
      <c r="E1102" s="2" t="str">
        <f>"022-382-1117  "</f>
        <v xml:space="preserve">022-382-1117  </v>
      </c>
      <c r="F1102" s="2" t="s">
        <v>6</v>
      </c>
      <c r="G1102" s="2" t="s">
        <v>48</v>
      </c>
    </row>
    <row r="1103" spans="1:7" ht="37.5" x14ac:dyDescent="0.4">
      <c r="A1103" s="2">
        <v>1102</v>
      </c>
      <c r="B1103" s="2" t="s">
        <v>1299</v>
      </c>
      <c r="C1103" s="2" t="str">
        <f>"981-1224"</f>
        <v>981-1224</v>
      </c>
      <c r="D1103" s="2" t="str">
        <f>"名取市増田字北谷２６４－１"</f>
        <v>名取市増田字北谷２６４－１</v>
      </c>
      <c r="E1103" s="2" t="str">
        <f>"022-226-8687  "</f>
        <v xml:space="preserve">022-226-8687  </v>
      </c>
      <c r="F1103" s="2" t="s">
        <v>9</v>
      </c>
      <c r="G1103" s="2" t="s">
        <v>1063</v>
      </c>
    </row>
    <row r="1104" spans="1:7" x14ac:dyDescent="0.4">
      <c r="A1104" s="2">
        <v>1103</v>
      </c>
      <c r="B1104" s="2" t="s">
        <v>1285</v>
      </c>
      <c r="C1104" s="2" t="str">
        <f>"981-1224"</f>
        <v>981-1224</v>
      </c>
      <c r="D1104" s="2" t="str">
        <f>"名取市増田字柳田210－1"</f>
        <v>名取市増田字柳田210－1</v>
      </c>
      <c r="E1104" s="2" t="str">
        <f>"022-384-5712  "</f>
        <v xml:space="preserve">022-384-5712  </v>
      </c>
      <c r="F1104" s="2" t="s">
        <v>9</v>
      </c>
      <c r="G1104" s="2" t="s">
        <v>1129</v>
      </c>
    </row>
    <row r="1105" spans="1:7" x14ac:dyDescent="0.4">
      <c r="A1105" s="2">
        <v>1104</v>
      </c>
      <c r="B1105" s="2" t="s">
        <v>1298</v>
      </c>
      <c r="C1105" s="2" t="str">
        <f>"981-1224"</f>
        <v>981-1224</v>
      </c>
      <c r="D1105" s="2" t="str">
        <f>"名取市増田字柳田５－１"</f>
        <v>名取市増田字柳田５－１</v>
      </c>
      <c r="E1105" s="2" t="str">
        <f>"022-383-1530  "</f>
        <v xml:space="preserve">022-383-1530  </v>
      </c>
      <c r="F1105" s="2" t="s">
        <v>9</v>
      </c>
      <c r="G1105" s="2" t="s">
        <v>1063</v>
      </c>
    </row>
    <row r="1106" spans="1:7" ht="56.25" x14ac:dyDescent="0.4">
      <c r="A1106" s="2">
        <v>1105</v>
      </c>
      <c r="B1106" s="2" t="s">
        <v>259</v>
      </c>
      <c r="C1106" s="2" t="str">
        <f>"981-1224"</f>
        <v>981-1224</v>
      </c>
      <c r="D1106" s="2" t="s">
        <v>249</v>
      </c>
      <c r="E1106" s="2" t="str">
        <f>"022-383-5252  "</f>
        <v xml:space="preserve">022-383-5252  </v>
      </c>
      <c r="F1106" s="2" t="s">
        <v>6</v>
      </c>
      <c r="G1106" s="2" t="s">
        <v>260</v>
      </c>
    </row>
    <row r="1107" spans="1:7" x14ac:dyDescent="0.4">
      <c r="A1107" s="2">
        <v>1106</v>
      </c>
      <c r="B1107" s="2" t="s">
        <v>1284</v>
      </c>
      <c r="C1107" s="2" t="str">
        <f>"981-1224"</f>
        <v>981-1224</v>
      </c>
      <c r="D1107" s="2" t="str">
        <f>"名取市増田字柳田８－３"</f>
        <v>名取市増田字柳田８－３</v>
      </c>
      <c r="E1107" s="2" t="str">
        <f>"022-384-0987  "</f>
        <v xml:space="preserve">022-384-0987  </v>
      </c>
      <c r="F1107" s="2" t="s">
        <v>9</v>
      </c>
      <c r="G1107" s="2" t="s">
        <v>1063</v>
      </c>
    </row>
    <row r="1108" spans="1:7" x14ac:dyDescent="0.4">
      <c r="A1108" s="2">
        <v>1107</v>
      </c>
      <c r="B1108" s="2" t="s">
        <v>1792</v>
      </c>
      <c r="C1108" s="2" t="str">
        <f>"981-1224"</f>
        <v>981-1224</v>
      </c>
      <c r="D1108" s="2" t="str">
        <f>"名取市増田字柳田８－３"</f>
        <v>名取市増田字柳田８－３</v>
      </c>
      <c r="E1108" s="2" t="str">
        <f>"022-384-9079  "</f>
        <v xml:space="preserve">022-384-9079  </v>
      </c>
      <c r="F1108" s="2" t="s">
        <v>11</v>
      </c>
      <c r="G1108" s="2" t="s">
        <v>1151</v>
      </c>
    </row>
    <row r="1109" spans="1:7" ht="37.5" x14ac:dyDescent="0.4">
      <c r="A1109" s="2">
        <v>1108</v>
      </c>
      <c r="B1109" s="2" t="s">
        <v>1286</v>
      </c>
      <c r="C1109" s="2" t="str">
        <f>"981-1224"</f>
        <v>981-1224</v>
      </c>
      <c r="D1109" s="2" t="str">
        <f>"名取市増田二丁目６－１５"</f>
        <v>名取市増田二丁目６－１５</v>
      </c>
      <c r="E1109" s="2" t="str">
        <f>"022-384-6102  "</f>
        <v xml:space="preserve">022-384-6102  </v>
      </c>
      <c r="F1109" s="2" t="s">
        <v>9</v>
      </c>
      <c r="G1109" s="2" t="s">
        <v>1129</v>
      </c>
    </row>
    <row r="1110" spans="1:7" ht="37.5" x14ac:dyDescent="0.4">
      <c r="A1110" s="2">
        <v>1109</v>
      </c>
      <c r="B1110" s="2" t="s">
        <v>1254</v>
      </c>
      <c r="C1110" s="2" t="str">
        <f>"981-1232"</f>
        <v>981-1232</v>
      </c>
      <c r="D1110" s="2" t="str">
        <f>"名取市大手町　６－２－４"</f>
        <v>名取市大手町　６－２－４</v>
      </c>
      <c r="E1110" s="2" t="str">
        <f>"022-382-0923  "</f>
        <v xml:space="preserve">022-382-0923  </v>
      </c>
      <c r="F1110" s="2" t="s">
        <v>9</v>
      </c>
      <c r="G1110" s="2" t="s">
        <v>1063</v>
      </c>
    </row>
    <row r="1111" spans="1:7" ht="37.5" x14ac:dyDescent="0.4">
      <c r="A1111" s="2">
        <v>1110</v>
      </c>
      <c r="B1111" s="2" t="s">
        <v>320</v>
      </c>
      <c r="C1111" s="2" t="str">
        <f>"981-1232"</f>
        <v>981-1232</v>
      </c>
      <c r="D1111" s="2" t="str">
        <f>"名取市大手町１－１－２２NNハイツ１号室"</f>
        <v>名取市大手町１－１－２２NNハイツ１号室</v>
      </c>
      <c r="E1111" s="2" t="str">
        <f>"022-397-6313  "</f>
        <v xml:space="preserve">022-397-6313  </v>
      </c>
      <c r="F1111" s="2" t="s">
        <v>6</v>
      </c>
      <c r="G1111" s="2" t="s">
        <v>321</v>
      </c>
    </row>
    <row r="1112" spans="1:7" x14ac:dyDescent="0.4">
      <c r="A1112" s="2">
        <v>1111</v>
      </c>
      <c r="B1112" s="2" t="s">
        <v>247</v>
      </c>
      <c r="C1112" s="2" t="str">
        <f>"981-1232"</f>
        <v>981-1232</v>
      </c>
      <c r="D1112" s="2" t="str">
        <f>"名取市大手町3-620-1"</f>
        <v>名取市大手町3-620-1</v>
      </c>
      <c r="E1112" s="2" t="str">
        <f>"022-382-3780  "</f>
        <v xml:space="preserve">022-382-3780  </v>
      </c>
      <c r="F1112" s="2" t="s">
        <v>6</v>
      </c>
      <c r="G1112" s="2" t="s">
        <v>79</v>
      </c>
    </row>
    <row r="1113" spans="1:7" x14ac:dyDescent="0.4">
      <c r="A1113" s="2">
        <v>1112</v>
      </c>
      <c r="B1113" s="2" t="s">
        <v>1290</v>
      </c>
      <c r="C1113" s="2" t="str">
        <f>"981-1232"</f>
        <v>981-1232</v>
      </c>
      <c r="D1113" s="2" t="s">
        <v>1291</v>
      </c>
      <c r="E1113" s="2" t="str">
        <f>"022-383-2635  "</f>
        <v xml:space="preserve">022-383-2635  </v>
      </c>
      <c r="F1113" s="2" t="s">
        <v>9</v>
      </c>
      <c r="G1113" s="2" t="s">
        <v>1063</v>
      </c>
    </row>
    <row r="1114" spans="1:7" ht="37.5" x14ac:dyDescent="0.4">
      <c r="A1114" s="2">
        <v>1113</v>
      </c>
      <c r="B1114" s="2" t="s">
        <v>1297</v>
      </c>
      <c r="C1114" s="2" t="str">
        <f>"981-1232"</f>
        <v>981-1232</v>
      </c>
      <c r="D1114" s="2" t="str">
        <f>"名取市大手町６－１３－７ガリシアビル１Ｆ"</f>
        <v>名取市大手町６－１３－７ガリシアビル１Ｆ</v>
      </c>
      <c r="E1114" s="2" t="str">
        <f>"022-398-8647  "</f>
        <v xml:space="preserve">022-398-8647  </v>
      </c>
      <c r="F1114" s="2" t="s">
        <v>9</v>
      </c>
      <c r="G1114" s="2" t="s">
        <v>1063</v>
      </c>
    </row>
    <row r="1115" spans="1:7" x14ac:dyDescent="0.4">
      <c r="A1115" s="2">
        <v>1114</v>
      </c>
      <c r="B1115" s="2" t="s">
        <v>1292</v>
      </c>
      <c r="C1115" s="2" t="str">
        <f>"981-1221"</f>
        <v>981-1221</v>
      </c>
      <c r="D1115" s="2" t="s">
        <v>328</v>
      </c>
      <c r="E1115" s="2" t="str">
        <f>"022-738-7233  "</f>
        <v xml:space="preserve">022-738-7233  </v>
      </c>
      <c r="F1115" s="2" t="s">
        <v>9</v>
      </c>
      <c r="G1115" s="2" t="s">
        <v>1063</v>
      </c>
    </row>
    <row r="1116" spans="1:7" ht="56.25" x14ac:dyDescent="0.4">
      <c r="A1116" s="2">
        <v>1115</v>
      </c>
      <c r="B1116" s="2" t="s">
        <v>319</v>
      </c>
      <c r="C1116" s="2" t="str">
        <f>"981-1221"</f>
        <v>981-1221</v>
      </c>
      <c r="D1116" s="2" t="s">
        <v>322</v>
      </c>
      <c r="E1116" s="2" t="str">
        <f>"022-302-5080  "</f>
        <v xml:space="preserve">022-302-5080  </v>
      </c>
      <c r="F1116" s="2" t="s">
        <v>6</v>
      </c>
      <c r="G1116" s="2" t="s">
        <v>204</v>
      </c>
    </row>
    <row r="1117" spans="1:7" ht="56.25" x14ac:dyDescent="0.4">
      <c r="A1117" s="2">
        <v>1116</v>
      </c>
      <c r="B1117" s="2" t="s">
        <v>314</v>
      </c>
      <c r="C1117" s="2" t="str">
        <f>"981-1221"</f>
        <v>981-1221</v>
      </c>
      <c r="D1117" s="2" t="s">
        <v>315</v>
      </c>
      <c r="E1117" s="2" t="str">
        <f>"022-797-5021  "</f>
        <v xml:space="preserve">022-797-5021  </v>
      </c>
      <c r="F1117" s="2" t="s">
        <v>6</v>
      </c>
      <c r="G1117" s="2" t="s">
        <v>28</v>
      </c>
    </row>
    <row r="1118" spans="1:7" ht="56.25" x14ac:dyDescent="0.4">
      <c r="A1118" s="2">
        <v>1117</v>
      </c>
      <c r="B1118" s="2" t="s">
        <v>324</v>
      </c>
      <c r="C1118" s="2" t="str">
        <f>"981-1221"</f>
        <v>981-1221</v>
      </c>
      <c r="D1118" s="2" t="s">
        <v>325</v>
      </c>
      <c r="E1118" s="2" t="str">
        <f>"022-302-7967  "</f>
        <v xml:space="preserve">022-302-7967  </v>
      </c>
      <c r="F1118" s="2" t="s">
        <v>6</v>
      </c>
      <c r="G1118" s="2" t="s">
        <v>326</v>
      </c>
    </row>
    <row r="1119" spans="1:7" ht="37.5" x14ac:dyDescent="0.4">
      <c r="A1119" s="2">
        <v>1118</v>
      </c>
      <c r="B1119" s="2" t="s">
        <v>961</v>
      </c>
      <c r="C1119" s="2" t="str">
        <f>"981-1227"</f>
        <v>981-1227</v>
      </c>
      <c r="D1119" s="2" t="s">
        <v>962</v>
      </c>
      <c r="E1119" s="2" t="str">
        <f>"022-383-6480  "</f>
        <v xml:space="preserve">022-383-6480  </v>
      </c>
      <c r="F1119" s="2" t="s">
        <v>6</v>
      </c>
      <c r="G1119" s="2" t="s">
        <v>902</v>
      </c>
    </row>
    <row r="1120" spans="1:7" ht="37.5" x14ac:dyDescent="0.4">
      <c r="A1120" s="2">
        <v>1119</v>
      </c>
      <c r="B1120" s="2" t="s">
        <v>1267</v>
      </c>
      <c r="C1120" s="2" t="str">
        <f>"981-1227"</f>
        <v>981-1227</v>
      </c>
      <c r="D1120" s="2" t="s">
        <v>1268</v>
      </c>
      <c r="E1120" s="2" t="str">
        <f>"022-381-4160  "</f>
        <v xml:space="preserve">022-381-4160  </v>
      </c>
      <c r="F1120" s="2" t="s">
        <v>9</v>
      </c>
      <c r="G1120" s="2" t="s">
        <v>1063</v>
      </c>
    </row>
    <row r="1121" spans="1:7" ht="37.5" x14ac:dyDescent="0.4">
      <c r="A1121" s="2">
        <v>1120</v>
      </c>
      <c r="B1121" s="2" t="s">
        <v>305</v>
      </c>
      <c r="C1121" s="2" t="str">
        <f>"981-1227"</f>
        <v>981-1227</v>
      </c>
      <c r="D1121" s="2" t="str">
        <f>"名取市杜せきのした2－6－5"</f>
        <v>名取市杜せきのした2－6－5</v>
      </c>
      <c r="E1121" s="2" t="str">
        <f>"022-341-6288  "</f>
        <v xml:space="preserve">022-341-6288  </v>
      </c>
      <c r="F1121" s="2" t="s">
        <v>6</v>
      </c>
      <c r="G1121" s="2" t="s">
        <v>48</v>
      </c>
    </row>
    <row r="1122" spans="1:7" ht="37.5" x14ac:dyDescent="0.4">
      <c r="A1122" s="2">
        <v>1121</v>
      </c>
      <c r="B1122" s="2" t="s">
        <v>288</v>
      </c>
      <c r="C1122" s="2" t="str">
        <f>"981-1227"</f>
        <v>981-1227</v>
      </c>
      <c r="D1122" s="2" t="s">
        <v>289</v>
      </c>
      <c r="E1122" s="2" t="str">
        <f>"022-398-3353  "</f>
        <v xml:space="preserve">022-398-3353  </v>
      </c>
      <c r="F1122" s="2" t="s">
        <v>6</v>
      </c>
      <c r="G1122" s="2" t="s">
        <v>290</v>
      </c>
    </row>
    <row r="1123" spans="1:7" ht="37.5" x14ac:dyDescent="0.4">
      <c r="A1123" s="2">
        <v>1122</v>
      </c>
      <c r="B1123" s="2" t="s">
        <v>1272</v>
      </c>
      <c r="C1123" s="2" t="str">
        <f>"981-1227"</f>
        <v>981-1227</v>
      </c>
      <c r="D1123" s="2" t="s">
        <v>1273</v>
      </c>
      <c r="E1123" s="2" t="str">
        <f>"022-383-6656  "</f>
        <v xml:space="preserve">022-383-6656  </v>
      </c>
      <c r="F1123" s="2" t="s">
        <v>9</v>
      </c>
      <c r="G1123" s="2" t="s">
        <v>1063</v>
      </c>
    </row>
    <row r="1124" spans="1:7" ht="37.5" x14ac:dyDescent="0.4">
      <c r="A1124" s="2">
        <v>1123</v>
      </c>
      <c r="B1124" s="2" t="s">
        <v>307</v>
      </c>
      <c r="C1124" s="2" t="str">
        <f>"981-1227"</f>
        <v>981-1227</v>
      </c>
      <c r="D1124" s="2" t="str">
        <f>"名取市杜せきのした５－３－１イオンモール１階"</f>
        <v>名取市杜せきのした５－３－１イオンモール１階</v>
      </c>
      <c r="E1124" s="2" t="str">
        <f>"022-796-9889  "</f>
        <v xml:space="preserve">022-796-9889  </v>
      </c>
      <c r="F1124" s="2" t="s">
        <v>6</v>
      </c>
      <c r="G1124" s="2" t="s">
        <v>48</v>
      </c>
    </row>
    <row r="1125" spans="1:7" ht="56.25" x14ac:dyDescent="0.4">
      <c r="A1125" s="2">
        <v>1124</v>
      </c>
      <c r="B1125" s="2" t="s">
        <v>967</v>
      </c>
      <c r="C1125" s="2" t="str">
        <f>"981-1294"</f>
        <v>981-1294</v>
      </c>
      <c r="D1125" s="2" t="str">
        <f>"名取市杜せきのした５－３－１イオンモール名取１階"</f>
        <v>名取市杜せきのした５－３－１イオンモール名取１階</v>
      </c>
      <c r="E1125" s="2" t="str">
        <f>"022-797-9119  "</f>
        <v xml:space="preserve">022-797-9119  </v>
      </c>
      <c r="F1125" s="2" t="s">
        <v>10</v>
      </c>
      <c r="G1125" s="2" t="s">
        <v>966</v>
      </c>
    </row>
    <row r="1126" spans="1:7" ht="37.5" x14ac:dyDescent="0.4">
      <c r="A1126" s="2">
        <v>1125</v>
      </c>
      <c r="B1126" s="2" t="s">
        <v>1294</v>
      </c>
      <c r="C1126" s="2" t="str">
        <f>"981-1227"</f>
        <v>981-1227</v>
      </c>
      <c r="D1126" s="2" t="s">
        <v>1295</v>
      </c>
      <c r="E1126" s="2" t="str">
        <f>"022-784-2032  "</f>
        <v xml:space="preserve">022-784-2032  </v>
      </c>
      <c r="F1126" s="2" t="s">
        <v>9</v>
      </c>
      <c r="G1126" s="2" t="s">
        <v>1063</v>
      </c>
    </row>
    <row r="1127" spans="1:7" ht="37.5" x14ac:dyDescent="0.4">
      <c r="A1127" s="2">
        <v>1126</v>
      </c>
      <c r="B1127" s="2" t="s">
        <v>1275</v>
      </c>
      <c r="C1127" s="2" t="str">
        <f>"981-1294"</f>
        <v>981-1294</v>
      </c>
      <c r="D1127" s="2" t="s">
        <v>1270</v>
      </c>
      <c r="E1127" s="2" t="str">
        <f>"022-382-9250  "</f>
        <v xml:space="preserve">022-382-9250  </v>
      </c>
      <c r="F1127" s="2" t="s">
        <v>9</v>
      </c>
      <c r="G1127" s="2" t="s">
        <v>1063</v>
      </c>
    </row>
    <row r="1128" spans="1:7" ht="37.5" x14ac:dyDescent="0.4">
      <c r="A1128" s="2">
        <v>1127</v>
      </c>
      <c r="B1128" s="2" t="s">
        <v>301</v>
      </c>
      <c r="C1128" s="2" t="str">
        <f>"981-1227"</f>
        <v>981-1227</v>
      </c>
      <c r="D1128" s="2" t="s">
        <v>302</v>
      </c>
      <c r="E1128" s="2" t="str">
        <f>"022-383-7557  "</f>
        <v xml:space="preserve">022-383-7557  </v>
      </c>
      <c r="F1128" s="2" t="s">
        <v>6</v>
      </c>
      <c r="G1128" s="2" t="s">
        <v>303</v>
      </c>
    </row>
    <row r="1129" spans="1:7" ht="37.5" x14ac:dyDescent="0.4">
      <c r="A1129" s="2">
        <v>1128</v>
      </c>
      <c r="B1129" s="2" t="s">
        <v>1276</v>
      </c>
      <c r="C1129" s="2" t="str">
        <f>"981-1227"</f>
        <v>981-1227</v>
      </c>
      <c r="D1129" s="2" t="str">
        <f>"名取市杜せきのした五丁目６－９"</f>
        <v>名取市杜せきのした五丁目６－９</v>
      </c>
      <c r="E1129" s="2" t="str">
        <f>"022-748-5175  "</f>
        <v xml:space="preserve">022-748-5175  </v>
      </c>
      <c r="F1129" s="2" t="s">
        <v>9</v>
      </c>
      <c r="G1129" s="2" t="s">
        <v>1063</v>
      </c>
    </row>
    <row r="1130" spans="1:7" ht="37.5" x14ac:dyDescent="0.4">
      <c r="A1130" s="2">
        <v>1129</v>
      </c>
      <c r="B1130" s="2" t="s">
        <v>297</v>
      </c>
      <c r="C1130" s="2" t="str">
        <f>"981-1227"</f>
        <v>981-1227</v>
      </c>
      <c r="D1130" s="2" t="str">
        <f>"名取市杜せきのした二丁目５－８"</f>
        <v>名取市杜せきのした二丁目５－８</v>
      </c>
      <c r="E1130" s="2" t="str">
        <f>"022-302-7135  "</f>
        <v xml:space="preserve">022-302-7135  </v>
      </c>
      <c r="F1130" s="2" t="s">
        <v>6</v>
      </c>
      <c r="G1130" s="2" t="s">
        <v>28</v>
      </c>
    </row>
    <row r="1131" spans="1:7" ht="37.5" x14ac:dyDescent="0.4">
      <c r="A1131" s="2">
        <v>1130</v>
      </c>
      <c r="B1131" s="2" t="s">
        <v>296</v>
      </c>
      <c r="C1131" s="2" t="str">
        <f>"981-1227"</f>
        <v>981-1227</v>
      </c>
      <c r="D1131" s="2" t="s">
        <v>323</v>
      </c>
      <c r="E1131" s="2" t="str">
        <f>"022-302-7125  "</f>
        <v xml:space="preserve">022-302-7125  </v>
      </c>
      <c r="F1131" s="2" t="s">
        <v>6</v>
      </c>
      <c r="G1131" s="2" t="s">
        <v>91</v>
      </c>
    </row>
    <row r="1132" spans="1:7" ht="37.5" x14ac:dyDescent="0.4">
      <c r="A1132" s="2">
        <v>1131</v>
      </c>
      <c r="B1132" s="2" t="s">
        <v>954</v>
      </c>
      <c r="C1132" s="2" t="str">
        <f>"981-1244"</f>
        <v>981-1244</v>
      </c>
      <c r="D1132" s="2" t="s">
        <v>955</v>
      </c>
      <c r="E1132" s="2" t="str">
        <f>"022-386-5989  "</f>
        <v xml:space="preserve">022-386-5989  </v>
      </c>
      <c r="F1132" s="2" t="s">
        <v>6</v>
      </c>
      <c r="G1132" s="2" t="s">
        <v>902</v>
      </c>
    </row>
    <row r="1133" spans="1:7" ht="37.5" x14ac:dyDescent="0.4">
      <c r="A1133" s="2">
        <v>1132</v>
      </c>
      <c r="B1133" s="2" t="s">
        <v>264</v>
      </c>
      <c r="C1133" s="2" t="str">
        <f>"981-1234"</f>
        <v>981-1234</v>
      </c>
      <c r="D1133" s="2" t="str">
        <f>"名取市箱塚　１－１９－３５"</f>
        <v>名取市箱塚　１－１９－３５</v>
      </c>
      <c r="E1133" s="2" t="str">
        <f>"022-381-5080  "</f>
        <v xml:space="preserve">022-381-5080  </v>
      </c>
      <c r="F1133" s="2" t="s">
        <v>6</v>
      </c>
      <c r="G1133" s="2" t="s">
        <v>265</v>
      </c>
    </row>
    <row r="1134" spans="1:7" x14ac:dyDescent="0.4">
      <c r="A1134" s="2">
        <v>1133</v>
      </c>
      <c r="B1134" s="2" t="s">
        <v>1278</v>
      </c>
      <c r="C1134" s="2" t="str">
        <f>"981-1234"</f>
        <v>981-1234</v>
      </c>
      <c r="D1134" s="2" t="str">
        <f>"名取市箱塚２－３－７"</f>
        <v>名取市箱塚２－３－７</v>
      </c>
      <c r="E1134" s="2" t="str">
        <f>"022-381-5370  "</f>
        <v xml:space="preserve">022-381-5370  </v>
      </c>
      <c r="F1134" s="2" t="s">
        <v>9</v>
      </c>
      <c r="G1134" s="2" t="s">
        <v>1063</v>
      </c>
    </row>
    <row r="1135" spans="1:7" ht="37.5" x14ac:dyDescent="0.4">
      <c r="A1135" s="2">
        <v>1134</v>
      </c>
      <c r="B1135" s="2" t="s">
        <v>214</v>
      </c>
      <c r="C1135" s="2" t="str">
        <f>"981-1217"</f>
        <v>981-1217</v>
      </c>
      <c r="D1135" s="2" t="s">
        <v>299</v>
      </c>
      <c r="E1135" s="2" t="str">
        <f>"022-302-7522  "</f>
        <v xml:space="preserve">022-302-7522  </v>
      </c>
      <c r="F1135" s="2" t="s">
        <v>6</v>
      </c>
      <c r="G1135" s="2" t="s">
        <v>300</v>
      </c>
    </row>
    <row r="1136" spans="1:7" ht="37.5" x14ac:dyDescent="0.4">
      <c r="A1136" s="2">
        <v>1135</v>
      </c>
      <c r="B1136" s="2" t="s">
        <v>1296</v>
      </c>
      <c r="C1136" s="2" t="str">
        <f>"981-1217"</f>
        <v>981-1217</v>
      </c>
      <c r="D1136" s="2" t="str">
        <f>"名取市美田園７－１８－２"</f>
        <v>名取市美田園７－１８－２</v>
      </c>
      <c r="E1136" s="2" t="str">
        <f>"022-383-5281  "</f>
        <v xml:space="preserve">022-383-5281  </v>
      </c>
      <c r="F1136" s="2" t="s">
        <v>9</v>
      </c>
      <c r="G1136" s="2" t="s">
        <v>1063</v>
      </c>
    </row>
    <row r="1137" spans="1:7" ht="37.5" x14ac:dyDescent="0.4">
      <c r="A1137" s="2">
        <v>1136</v>
      </c>
      <c r="B1137" s="2" t="s">
        <v>286</v>
      </c>
      <c r="C1137" s="2" t="str">
        <f>"981-1217"</f>
        <v>981-1217</v>
      </c>
      <c r="D1137" s="2" t="s">
        <v>287</v>
      </c>
      <c r="E1137" s="2" t="str">
        <f>"022-738-7081  "</f>
        <v xml:space="preserve">022-738-7081  </v>
      </c>
      <c r="F1137" s="2" t="s">
        <v>6</v>
      </c>
      <c r="G1137" s="2" t="s">
        <v>97</v>
      </c>
    </row>
    <row r="1138" spans="1:7" ht="37.5" x14ac:dyDescent="0.4">
      <c r="A1138" s="2">
        <v>1137</v>
      </c>
      <c r="B1138" s="2" t="s">
        <v>1287</v>
      </c>
      <c r="C1138" s="2" t="str">
        <f>"981-1217"</f>
        <v>981-1217</v>
      </c>
      <c r="D1138" s="2" t="str">
        <f>"名取市美田園８丁目１－８"</f>
        <v>名取市美田園８丁目１－８</v>
      </c>
      <c r="E1138" s="2" t="str">
        <f>"022-797-6033  "</f>
        <v xml:space="preserve">022-797-6033  </v>
      </c>
      <c r="F1138" s="2" t="s">
        <v>9</v>
      </c>
      <c r="G1138" s="2" t="s">
        <v>1063</v>
      </c>
    </row>
    <row r="1139" spans="1:7" ht="37.5" x14ac:dyDescent="0.4">
      <c r="A1139" s="2">
        <v>1138</v>
      </c>
      <c r="B1139" s="2" t="s">
        <v>311</v>
      </c>
      <c r="C1139" s="2" t="str">
        <f>"981-1217"</f>
        <v>981-1217</v>
      </c>
      <c r="D1139" s="2" t="s">
        <v>312</v>
      </c>
      <c r="E1139" s="2" t="str">
        <f>"022-797-9523  "</f>
        <v xml:space="preserve">022-797-9523  </v>
      </c>
      <c r="F1139" s="2" t="s">
        <v>6</v>
      </c>
      <c r="G1139" s="2" t="s">
        <v>313</v>
      </c>
    </row>
    <row r="1140" spans="1:7" ht="37.5" x14ac:dyDescent="0.4">
      <c r="A1140" s="2">
        <v>1139</v>
      </c>
      <c r="B1140" s="2" t="s">
        <v>1800</v>
      </c>
      <c r="C1140" s="2" t="str">
        <f>"981-1217"</f>
        <v>981-1217</v>
      </c>
      <c r="D1140" s="2" t="str">
        <f>"名取市美田園三丁目１－１"</f>
        <v>名取市美田園三丁目１－１</v>
      </c>
      <c r="E1140" s="2" t="str">
        <f>"022-382-7872  "</f>
        <v xml:space="preserve">022-382-7872  </v>
      </c>
      <c r="F1140" s="2" t="s">
        <v>11</v>
      </c>
      <c r="G1140" s="2" t="s">
        <v>1151</v>
      </c>
    </row>
    <row r="1141" spans="1:7" ht="37.5" x14ac:dyDescent="0.4">
      <c r="A1141" s="2">
        <v>1140</v>
      </c>
      <c r="B1141" s="2" t="s">
        <v>1288</v>
      </c>
      <c r="C1141" s="2" t="str">
        <f>"981-1217"</f>
        <v>981-1217</v>
      </c>
      <c r="D1141" s="2" t="s">
        <v>1289</v>
      </c>
      <c r="E1141" s="2" t="str">
        <f>"022-738-7975  "</f>
        <v xml:space="preserve">022-738-7975  </v>
      </c>
      <c r="F1141" s="2" t="s">
        <v>9</v>
      </c>
      <c r="G1141" s="2" t="s">
        <v>1063</v>
      </c>
    </row>
    <row r="1142" spans="1:7" ht="37.5" x14ac:dyDescent="0.4">
      <c r="A1142" s="2">
        <v>1141</v>
      </c>
      <c r="B1142" s="2" t="s">
        <v>291</v>
      </c>
      <c r="C1142" s="2" t="str">
        <f>"981-1217"</f>
        <v>981-1217</v>
      </c>
      <c r="D1142" s="2" t="s">
        <v>292</v>
      </c>
      <c r="E1142" s="2" t="str">
        <f>"022-784-3592  "</f>
        <v xml:space="preserve">022-784-3592  </v>
      </c>
      <c r="F1142" s="2" t="s">
        <v>6</v>
      </c>
      <c r="G1142" s="2" t="s">
        <v>293</v>
      </c>
    </row>
    <row r="1143" spans="1:7" x14ac:dyDescent="0.4">
      <c r="A1143" s="2">
        <v>1142</v>
      </c>
      <c r="B1143" s="2" t="s">
        <v>308</v>
      </c>
      <c r="C1143" s="2" t="str">
        <f>"989-2411"</f>
        <v>989-2411</v>
      </c>
      <c r="D1143" s="2" t="s">
        <v>309</v>
      </c>
      <c r="E1143" s="2" t="str">
        <f>"022-397-7141  "</f>
        <v xml:space="preserve">022-397-7141  </v>
      </c>
      <c r="F1143" s="2" t="s">
        <v>6</v>
      </c>
      <c r="G1143" s="2" t="s">
        <v>310</v>
      </c>
    </row>
    <row r="1144" spans="1:7" ht="37.5" x14ac:dyDescent="0.4">
      <c r="A1144" s="2">
        <v>1143</v>
      </c>
      <c r="B1144" s="2" t="s">
        <v>956</v>
      </c>
      <c r="C1144" s="2" t="str">
        <f>"981-1235"</f>
        <v>981-1235</v>
      </c>
      <c r="D1144" s="2" t="s">
        <v>957</v>
      </c>
      <c r="E1144" s="2" t="str">
        <f>"022-383-8849  "</f>
        <v xml:space="preserve">022-383-8849  </v>
      </c>
      <c r="F1144" s="2" t="s">
        <v>6</v>
      </c>
      <c r="G1144" s="2" t="s">
        <v>902</v>
      </c>
    </row>
    <row r="1145" spans="1:7" ht="75" x14ac:dyDescent="0.4">
      <c r="A1145" s="2">
        <v>1144</v>
      </c>
      <c r="B1145" s="2" t="s">
        <v>903</v>
      </c>
      <c r="C1145" s="2" t="str">
        <f>"989-2202"</f>
        <v>989-2202</v>
      </c>
      <c r="D1145" s="2" t="s">
        <v>904</v>
      </c>
      <c r="E1145" s="2" t="str">
        <f>"0223-37-1131  "</f>
        <v xml:space="preserve">0223-37-1131  </v>
      </c>
      <c r="F1145" s="2" t="s">
        <v>6</v>
      </c>
      <c r="G1145" s="2" t="s">
        <v>905</v>
      </c>
    </row>
    <row r="1146" spans="1:7" ht="37.5" x14ac:dyDescent="0.4">
      <c r="A1146" s="2">
        <v>1145</v>
      </c>
      <c r="B1146" s="2" t="s">
        <v>1677</v>
      </c>
      <c r="C1146" s="2" t="str">
        <f>"989-2202"</f>
        <v>989-2202</v>
      </c>
      <c r="D1146" s="2" t="str">
        <f>"亘理郡山元町高瀬字合戦原111－2"</f>
        <v>亘理郡山元町高瀬字合戦原111－2</v>
      </c>
      <c r="E1146" s="2" t="str">
        <f>"0223-37-3633  "</f>
        <v xml:space="preserve">0223-37-3633  </v>
      </c>
      <c r="F1146" s="2" t="s">
        <v>9</v>
      </c>
      <c r="G1146" s="2" t="s">
        <v>1129</v>
      </c>
    </row>
    <row r="1147" spans="1:7" ht="37.5" x14ac:dyDescent="0.4">
      <c r="A1147" s="2">
        <v>1146</v>
      </c>
      <c r="B1147" s="2" t="s">
        <v>1666</v>
      </c>
      <c r="C1147" s="2" t="str">
        <f>"989-2111"</f>
        <v>989-2111</v>
      </c>
      <c r="D1147" s="2" t="s">
        <v>1667</v>
      </c>
      <c r="E1147" s="2" t="str">
        <f>"0223-38-0334  "</f>
        <v xml:space="preserve">0223-38-0334  </v>
      </c>
      <c r="F1147" s="2" t="s">
        <v>9</v>
      </c>
      <c r="G1147" s="2" t="s">
        <v>1063</v>
      </c>
    </row>
    <row r="1148" spans="1:7" ht="37.5" x14ac:dyDescent="0.4">
      <c r="A1148" s="2">
        <v>1147</v>
      </c>
      <c r="B1148" s="2" t="s">
        <v>763</v>
      </c>
      <c r="C1148" s="2" t="str">
        <f>"989-2111"</f>
        <v>989-2111</v>
      </c>
      <c r="D1148" s="2" t="s">
        <v>795</v>
      </c>
      <c r="E1148" s="2" t="str">
        <f>"0223-38-0005  "</f>
        <v xml:space="preserve">0223-38-0005  </v>
      </c>
      <c r="F1148" s="2" t="s">
        <v>6</v>
      </c>
      <c r="G1148" s="2" t="s">
        <v>796</v>
      </c>
    </row>
    <row r="1149" spans="1:7" ht="37.5" x14ac:dyDescent="0.4">
      <c r="A1149" s="2">
        <v>1148</v>
      </c>
      <c r="B1149" s="2" t="s">
        <v>1326</v>
      </c>
      <c r="C1149" s="2" t="str">
        <f>"989-2111"</f>
        <v>989-2111</v>
      </c>
      <c r="D1149" s="2" t="str">
        <f>"亘理郡山元町坂元道合６８－４"</f>
        <v>亘理郡山元町坂元道合６８－４</v>
      </c>
      <c r="E1149" s="2" t="str">
        <f>"0223-33-4331  "</f>
        <v xml:space="preserve">0223-33-4331  </v>
      </c>
      <c r="F1149" s="2" t="s">
        <v>9</v>
      </c>
      <c r="G1149" s="2" t="s">
        <v>1129</v>
      </c>
    </row>
    <row r="1150" spans="1:7" ht="37.5" x14ac:dyDescent="0.4">
      <c r="A1150" s="2">
        <v>1149</v>
      </c>
      <c r="B1150" s="2" t="s">
        <v>1191</v>
      </c>
      <c r="C1150" s="2" t="str">
        <f>"989-2201"</f>
        <v>989-2201</v>
      </c>
      <c r="D1150" s="2" t="s">
        <v>1660</v>
      </c>
      <c r="E1150" s="2" t="str">
        <f>"0223-37-4393  "</f>
        <v xml:space="preserve">0223-37-4393  </v>
      </c>
      <c r="F1150" s="2" t="s">
        <v>9</v>
      </c>
      <c r="G1150" s="2" t="s">
        <v>1063</v>
      </c>
    </row>
    <row r="1151" spans="1:7" ht="37.5" x14ac:dyDescent="0.4">
      <c r="A1151" s="2">
        <v>1150</v>
      </c>
      <c r="B1151" s="2" t="s">
        <v>1661</v>
      </c>
      <c r="C1151" s="2" t="str">
        <f>"989-2201"</f>
        <v>989-2201</v>
      </c>
      <c r="D1151" s="2" t="str">
        <f>"亘理郡山元町山寺字石田　２０－１"</f>
        <v>亘理郡山元町山寺字石田　２０－１</v>
      </c>
      <c r="E1151" s="2" t="str">
        <f>"0223-37-7567  "</f>
        <v xml:space="preserve">0223-37-7567  </v>
      </c>
      <c r="F1151" s="2" t="s">
        <v>9</v>
      </c>
      <c r="G1151" s="2" t="s">
        <v>1063</v>
      </c>
    </row>
    <row r="1152" spans="1:7" ht="56.25" x14ac:dyDescent="0.4">
      <c r="A1152" s="2">
        <v>1151</v>
      </c>
      <c r="B1152" s="2" t="s">
        <v>764</v>
      </c>
      <c r="C1152" s="2" t="str">
        <f>"989-2201"</f>
        <v>989-2201</v>
      </c>
      <c r="D1152" s="2" t="s">
        <v>765</v>
      </c>
      <c r="E1152" s="2" t="str">
        <f>"0223-37-4055  "</f>
        <v xml:space="preserve">0223-37-4055  </v>
      </c>
      <c r="F1152" s="2" t="s">
        <v>6</v>
      </c>
      <c r="G1152" s="2" t="s">
        <v>766</v>
      </c>
    </row>
    <row r="1153" spans="1:7" ht="37.5" x14ac:dyDescent="0.4">
      <c r="A1153" s="2">
        <v>1152</v>
      </c>
      <c r="B1153" s="2" t="s">
        <v>1673</v>
      </c>
      <c r="C1153" s="2" t="str">
        <f>"989-2203"</f>
        <v>989-2203</v>
      </c>
      <c r="D1153" s="2" t="str">
        <f>"亘理郡山元町浅生原字田中２４－１"</f>
        <v>亘理郡山元町浅生原字田中２４－１</v>
      </c>
      <c r="E1153" s="2" t="str">
        <f>"0223-35-6030  "</f>
        <v xml:space="preserve">0223-35-6030  </v>
      </c>
      <c r="F1153" s="2" t="s">
        <v>9</v>
      </c>
      <c r="G1153" s="2" t="s">
        <v>1063</v>
      </c>
    </row>
    <row r="1154" spans="1:7" ht="37.5" x14ac:dyDescent="0.4">
      <c r="A1154" s="2">
        <v>1153</v>
      </c>
      <c r="B1154" s="2" t="s">
        <v>790</v>
      </c>
      <c r="C1154" s="2" t="str">
        <f>"989-2203"</f>
        <v>989-2203</v>
      </c>
      <c r="D1154" s="2" t="str">
        <f>"亘理郡山元町浅生字原日向20-2"</f>
        <v>亘理郡山元町浅生字原日向20-2</v>
      </c>
      <c r="E1154" s="2" t="str">
        <f>"0223-23-0345  "</f>
        <v xml:space="preserve">0223-23-0345  </v>
      </c>
      <c r="F1154" s="2" t="s">
        <v>6</v>
      </c>
      <c r="G1154" s="2" t="s">
        <v>791</v>
      </c>
    </row>
    <row r="1155" spans="1:7" ht="37.5" x14ac:dyDescent="0.4">
      <c r="A1155" s="2">
        <v>1154</v>
      </c>
      <c r="B1155" s="2" t="s">
        <v>1860</v>
      </c>
      <c r="C1155" s="2" t="str">
        <f>"989-2202"</f>
        <v>989-2202</v>
      </c>
      <c r="D1155" s="2" t="str">
        <f>"亘理郡山元町髙瀬字合戦原５４－２"</f>
        <v>亘理郡山元町髙瀬字合戦原５４－２</v>
      </c>
      <c r="E1155" s="2" t="str">
        <f>"0223-23-1185  "</f>
        <v xml:space="preserve">0223-23-1185  </v>
      </c>
      <c r="F1155" s="2" t="s">
        <v>11</v>
      </c>
      <c r="G1155" s="2" t="s">
        <v>1151</v>
      </c>
    </row>
    <row r="1156" spans="1:7" ht="37.5" x14ac:dyDescent="0.4">
      <c r="A1156" s="2">
        <v>1155</v>
      </c>
      <c r="B1156" s="2" t="s">
        <v>785</v>
      </c>
      <c r="C1156" s="2" t="str">
        <f>"989-2324"</f>
        <v>989-2324</v>
      </c>
      <c r="D1156" s="2" t="str">
        <f>"亘理郡亘理町逢隈高屋字石堂１８７－１"</f>
        <v>亘理郡亘理町逢隈高屋字石堂１８７－１</v>
      </c>
      <c r="E1156" s="2" t="str">
        <f>"0223-36-7577  "</f>
        <v xml:space="preserve">0223-36-7577  </v>
      </c>
      <c r="F1156" s="2" t="s">
        <v>6</v>
      </c>
      <c r="G1156" s="2" t="s">
        <v>786</v>
      </c>
    </row>
    <row r="1157" spans="1:7" ht="37.5" x14ac:dyDescent="0.4">
      <c r="A1157" s="2">
        <v>1156</v>
      </c>
      <c r="B1157" s="2" t="s">
        <v>1863</v>
      </c>
      <c r="C1157" s="2" t="str">
        <f>"989-2301"</f>
        <v>989-2301</v>
      </c>
      <c r="D1157" s="2" t="str">
        <f>"亘理郡亘理町逢隈字中泉上谷地２６４－３"</f>
        <v>亘理郡亘理町逢隈字中泉上谷地２６４－３</v>
      </c>
      <c r="E1157" s="2" t="str">
        <f>"0223-35-6027  "</f>
        <v xml:space="preserve">0223-35-6027  </v>
      </c>
      <c r="F1157" s="2" t="s">
        <v>11</v>
      </c>
      <c r="G1157" s="2" t="s">
        <v>1151</v>
      </c>
    </row>
    <row r="1158" spans="1:7" ht="37.5" x14ac:dyDescent="0.4">
      <c r="A1158" s="2">
        <v>1157</v>
      </c>
      <c r="B1158" s="2" t="s">
        <v>767</v>
      </c>
      <c r="C1158" s="2" t="str">
        <f>"989-2371"</f>
        <v>989-2371</v>
      </c>
      <c r="D1158" s="2" t="s">
        <v>768</v>
      </c>
      <c r="E1158" s="2" t="str">
        <f>"0223-34-5303  "</f>
        <v xml:space="preserve">0223-34-5303  </v>
      </c>
      <c r="F1158" s="2" t="s">
        <v>6</v>
      </c>
      <c r="G1158" s="2" t="s">
        <v>42</v>
      </c>
    </row>
    <row r="1159" spans="1:7" ht="37.5" x14ac:dyDescent="0.4">
      <c r="A1159" s="2">
        <v>1158</v>
      </c>
      <c r="B1159" s="2" t="s">
        <v>769</v>
      </c>
      <c r="C1159" s="2" t="str">
        <f>"989-2301"</f>
        <v>989-2301</v>
      </c>
      <c r="D1159" s="2" t="s">
        <v>770</v>
      </c>
      <c r="E1159" s="2" t="str">
        <f>"0223-34-8911  "</f>
        <v xml:space="preserve">0223-34-8911  </v>
      </c>
      <c r="F1159" s="2" t="s">
        <v>6</v>
      </c>
      <c r="G1159" s="2" t="s">
        <v>771</v>
      </c>
    </row>
    <row r="1160" spans="1:7" ht="37.5" x14ac:dyDescent="0.4">
      <c r="A1160" s="2">
        <v>1159</v>
      </c>
      <c r="B1160" s="2" t="s">
        <v>787</v>
      </c>
      <c r="C1160" s="2" t="str">
        <f>"989-2301"</f>
        <v>989-2301</v>
      </c>
      <c r="D1160" s="2" t="s">
        <v>788</v>
      </c>
      <c r="E1160" s="2" t="str">
        <f>"0223-33-1121  "</f>
        <v xml:space="preserve">0223-33-1121  </v>
      </c>
      <c r="F1160" s="2" t="s">
        <v>6</v>
      </c>
      <c r="G1160" s="2" t="s">
        <v>789</v>
      </c>
    </row>
    <row r="1161" spans="1:7" ht="37.5" x14ac:dyDescent="0.4">
      <c r="A1161" s="2">
        <v>1160</v>
      </c>
      <c r="B1161" s="2" t="s">
        <v>1861</v>
      </c>
      <c r="C1161" s="2" t="str">
        <f>"989-2301"</f>
        <v>989-2301</v>
      </c>
      <c r="D1161" s="2" t="str">
        <f>"亘理郡亘理町逢隈中泉字上谷地264-3"</f>
        <v>亘理郡亘理町逢隈中泉字上谷地264-3</v>
      </c>
      <c r="E1161" s="2" t="str">
        <f>"0223-35-6027  "</f>
        <v xml:space="preserve">0223-35-6027  </v>
      </c>
      <c r="F1161" s="2" t="s">
        <v>11</v>
      </c>
      <c r="G1161" s="2" t="s">
        <v>1151</v>
      </c>
    </row>
    <row r="1162" spans="1:7" ht="37.5" x14ac:dyDescent="0.4">
      <c r="A1162" s="2">
        <v>1161</v>
      </c>
      <c r="B1162" s="2" t="s">
        <v>1658</v>
      </c>
      <c r="C1162" s="2" t="str">
        <f>"989-2301"</f>
        <v>989-2301</v>
      </c>
      <c r="D1162" s="2" t="s">
        <v>1659</v>
      </c>
      <c r="E1162" s="2" t="str">
        <f>"0223-34-2140  "</f>
        <v xml:space="preserve">0223-34-2140  </v>
      </c>
      <c r="F1162" s="2" t="s">
        <v>9</v>
      </c>
      <c r="G1162" s="2" t="s">
        <v>1063</v>
      </c>
    </row>
    <row r="1163" spans="1:7" ht="37.5" x14ac:dyDescent="0.4">
      <c r="A1163" s="2">
        <v>1162</v>
      </c>
      <c r="B1163" s="2" t="s">
        <v>776</v>
      </c>
      <c r="C1163" s="2" t="str">
        <f>"989-2301"</f>
        <v>989-2301</v>
      </c>
      <c r="D1163" s="2" t="str">
        <f>"亘理郡亘理町逢隈中泉字中　１７８－１"</f>
        <v>亘理郡亘理町逢隈中泉字中　１７８－１</v>
      </c>
      <c r="E1163" s="2" t="str">
        <f>"0223-32-2871  "</f>
        <v xml:space="preserve">0223-32-2871  </v>
      </c>
      <c r="F1163" s="2" t="s">
        <v>6</v>
      </c>
      <c r="G1163" s="2" t="s">
        <v>50</v>
      </c>
    </row>
    <row r="1164" spans="1:7" ht="37.5" x14ac:dyDescent="0.4">
      <c r="A1164" s="2">
        <v>1163</v>
      </c>
      <c r="B1164" s="2" t="s">
        <v>784</v>
      </c>
      <c r="C1164" s="2" t="str">
        <f>"989-2301"</f>
        <v>989-2301</v>
      </c>
      <c r="D1164" s="2" t="str">
        <f>"亘理郡亘理町逢隈中泉字本木４－１　１Ｆ"</f>
        <v>亘理郡亘理町逢隈中泉字本木４－１　１Ｆ</v>
      </c>
      <c r="E1164" s="2" t="str">
        <f>"0223-23-1531  "</f>
        <v xml:space="preserve">0223-23-1531  </v>
      </c>
      <c r="F1164" s="2" t="s">
        <v>6</v>
      </c>
      <c r="G1164" s="2" t="s">
        <v>46</v>
      </c>
    </row>
    <row r="1165" spans="1:7" ht="37.5" x14ac:dyDescent="0.4">
      <c r="A1165" s="2">
        <v>1164</v>
      </c>
      <c r="B1165" s="2" t="s">
        <v>1662</v>
      </c>
      <c r="C1165" s="2" t="str">
        <f>"989-2361"</f>
        <v>989-2361</v>
      </c>
      <c r="D1165" s="2" t="s">
        <v>1663</v>
      </c>
      <c r="E1165" s="2" t="str">
        <f>"0223-33-0380  "</f>
        <v xml:space="preserve">0223-33-0380  </v>
      </c>
      <c r="F1165" s="2" t="s">
        <v>9</v>
      </c>
      <c r="G1165" s="2" t="s">
        <v>1063</v>
      </c>
    </row>
    <row r="1166" spans="1:7" ht="37.5" x14ac:dyDescent="0.4">
      <c r="A1166" s="2">
        <v>1165</v>
      </c>
      <c r="B1166" s="2" t="s">
        <v>1862</v>
      </c>
      <c r="C1166" s="2" t="str">
        <f>"989-2331"</f>
        <v>989-2331</v>
      </c>
      <c r="D1166" s="2" t="str">
        <f>"亘理郡亘理町吉田字原247-19"</f>
        <v>亘理郡亘理町吉田字原247-19</v>
      </c>
      <c r="E1166" s="2" t="str">
        <f>"0223-36-7883  "</f>
        <v xml:space="preserve">0223-36-7883  </v>
      </c>
      <c r="F1166" s="2" t="s">
        <v>11</v>
      </c>
      <c r="G1166" s="2" t="s">
        <v>1151</v>
      </c>
    </row>
    <row r="1167" spans="1:7" ht="37.5" x14ac:dyDescent="0.4">
      <c r="A1167" s="2">
        <v>1166</v>
      </c>
      <c r="B1167" s="2" t="s">
        <v>1664</v>
      </c>
      <c r="C1167" s="2" t="str">
        <f>"989-2331"</f>
        <v>989-2331</v>
      </c>
      <c r="D1167" s="2" t="s">
        <v>1665</v>
      </c>
      <c r="E1167" s="2" t="str">
        <f>"0223-34-5515  "</f>
        <v xml:space="preserve">0223-34-5515  </v>
      </c>
      <c r="F1167" s="2" t="s">
        <v>9</v>
      </c>
      <c r="G1167" s="2" t="s">
        <v>1063</v>
      </c>
    </row>
    <row r="1168" spans="1:7" ht="37.5" x14ac:dyDescent="0.4">
      <c r="A1168" s="2">
        <v>1167</v>
      </c>
      <c r="B1168" s="2" t="s">
        <v>774</v>
      </c>
      <c r="C1168" s="2" t="str">
        <f>"989-2331"</f>
        <v>989-2331</v>
      </c>
      <c r="D1168" s="2" t="str">
        <f>"亘理郡亘理町吉田字松崎　７０－１"</f>
        <v>亘理郡亘理町吉田字松崎　７０－１</v>
      </c>
      <c r="E1168" s="2" t="str">
        <f>"0223-34-3003  "</f>
        <v xml:space="preserve">0223-34-3003  </v>
      </c>
      <c r="F1168" s="2" t="s">
        <v>6</v>
      </c>
      <c r="G1168" s="2" t="s">
        <v>775</v>
      </c>
    </row>
    <row r="1169" spans="1:7" x14ac:dyDescent="0.4">
      <c r="A1169" s="2">
        <v>1168</v>
      </c>
      <c r="B1169" s="2" t="s">
        <v>1671</v>
      </c>
      <c r="C1169" s="2" t="str">
        <f>"989-2351"</f>
        <v>989-2351</v>
      </c>
      <c r="D1169" s="2" t="s">
        <v>1672</v>
      </c>
      <c r="E1169" s="2" t="str">
        <f>"0223-34-6627  "</f>
        <v xml:space="preserve">0223-34-6627  </v>
      </c>
      <c r="F1169" s="2" t="s">
        <v>9</v>
      </c>
      <c r="G1169" s="2" t="s">
        <v>1063</v>
      </c>
    </row>
    <row r="1170" spans="1:7" ht="37.5" x14ac:dyDescent="0.4">
      <c r="A1170" s="2">
        <v>1169</v>
      </c>
      <c r="B1170" s="2" t="s">
        <v>757</v>
      </c>
      <c r="C1170" s="2" t="str">
        <f>"989-2351"</f>
        <v>989-2351</v>
      </c>
      <c r="D1170" s="2" t="s">
        <v>758</v>
      </c>
      <c r="E1170" s="2" t="str">
        <f>"0223-34-3204  "</f>
        <v xml:space="preserve">0223-34-3204  </v>
      </c>
      <c r="F1170" s="2" t="s">
        <v>6</v>
      </c>
      <c r="G1170" s="2" t="s">
        <v>79</v>
      </c>
    </row>
    <row r="1171" spans="1:7" ht="37.5" x14ac:dyDescent="0.4">
      <c r="A1171" s="2">
        <v>1170</v>
      </c>
      <c r="B1171" s="2" t="s">
        <v>761</v>
      </c>
      <c r="C1171" s="2" t="str">
        <f>"989-2351"</f>
        <v>989-2351</v>
      </c>
      <c r="D1171" s="2" t="str">
        <f>"亘理郡亘理町字旧舘１７－１"</f>
        <v>亘理郡亘理町字旧舘１７－１</v>
      </c>
      <c r="E1171" s="2" t="str">
        <f>"0223-34-3171  "</f>
        <v xml:space="preserve">0223-34-3171  </v>
      </c>
      <c r="F1171" s="2" t="s">
        <v>6</v>
      </c>
      <c r="G1171" s="2" t="s">
        <v>762</v>
      </c>
    </row>
    <row r="1172" spans="1:7" ht="37.5" x14ac:dyDescent="0.4">
      <c r="A1172" s="2">
        <v>1171</v>
      </c>
      <c r="B1172" s="2" t="s">
        <v>1674</v>
      </c>
      <c r="C1172" s="2" t="str">
        <f>"989-2351"</f>
        <v>989-2351</v>
      </c>
      <c r="D1172" s="2" t="s">
        <v>1675</v>
      </c>
      <c r="E1172" s="2" t="str">
        <f>"0223-34-7092  "</f>
        <v xml:space="preserve">0223-34-7092  </v>
      </c>
      <c r="F1172" s="2" t="s">
        <v>9</v>
      </c>
      <c r="G1172" s="2" t="s">
        <v>1063</v>
      </c>
    </row>
    <row r="1173" spans="1:7" x14ac:dyDescent="0.4">
      <c r="A1173" s="2">
        <v>1172</v>
      </c>
      <c r="B1173" s="2" t="s">
        <v>792</v>
      </c>
      <c r="C1173" s="2" t="str">
        <f>"989-2351"</f>
        <v>989-2351</v>
      </c>
      <c r="D1173" s="2" t="str">
        <f>"亘理郡亘理町字旧舘61－7"</f>
        <v>亘理郡亘理町字旧舘61－7</v>
      </c>
      <c r="E1173" s="2" t="str">
        <f>"0223-23-0803  "</f>
        <v xml:space="preserve">0223-23-0803  </v>
      </c>
      <c r="F1173" s="2" t="s">
        <v>6</v>
      </c>
      <c r="G1173" s="2" t="s">
        <v>38</v>
      </c>
    </row>
    <row r="1174" spans="1:7" ht="37.5" x14ac:dyDescent="0.4">
      <c r="A1174" s="2">
        <v>1173</v>
      </c>
      <c r="B1174" s="2" t="s">
        <v>1668</v>
      </c>
      <c r="C1174" s="2" t="str">
        <f>"989-2351"</f>
        <v>989-2351</v>
      </c>
      <c r="D1174" s="2" t="str">
        <f>"亘理郡亘理町字狐塚　１－１"</f>
        <v>亘理郡亘理町字狐塚　１－１</v>
      </c>
      <c r="E1174" s="2" t="str">
        <f>"0223-32-8575  "</f>
        <v xml:space="preserve">0223-32-8575  </v>
      </c>
      <c r="F1174" s="2" t="s">
        <v>9</v>
      </c>
      <c r="G1174" s="2" t="s">
        <v>1063</v>
      </c>
    </row>
    <row r="1175" spans="1:7" x14ac:dyDescent="0.4">
      <c r="A1175" s="2">
        <v>1174</v>
      </c>
      <c r="B1175" s="2" t="s">
        <v>777</v>
      </c>
      <c r="C1175" s="2" t="str">
        <f>"989-2351"</f>
        <v>989-2351</v>
      </c>
      <c r="D1175" s="2" t="s">
        <v>778</v>
      </c>
      <c r="E1175" s="2" t="str">
        <f>"0223-32-8233  "</f>
        <v xml:space="preserve">0223-32-8233  </v>
      </c>
      <c r="F1175" s="2" t="s">
        <v>6</v>
      </c>
      <c r="G1175" s="2" t="s">
        <v>779</v>
      </c>
    </row>
    <row r="1176" spans="1:7" x14ac:dyDescent="0.4">
      <c r="A1176" s="2">
        <v>1175</v>
      </c>
      <c r="B1176" s="2" t="s">
        <v>772</v>
      </c>
      <c r="C1176" s="2" t="str">
        <f>"989-2351"</f>
        <v>989-2351</v>
      </c>
      <c r="D1176" s="2" t="s">
        <v>773</v>
      </c>
      <c r="E1176" s="2" t="str">
        <f>"0223-34-0755  "</f>
        <v xml:space="preserve">0223-34-0755  </v>
      </c>
      <c r="F1176" s="2" t="s">
        <v>6</v>
      </c>
      <c r="G1176" s="2" t="s">
        <v>48</v>
      </c>
    </row>
    <row r="1177" spans="1:7" ht="37.5" x14ac:dyDescent="0.4">
      <c r="A1177" s="2">
        <v>1176</v>
      </c>
      <c r="B1177" s="2" t="s">
        <v>781</v>
      </c>
      <c r="C1177" s="2" t="str">
        <f>"989-2303"</f>
        <v>989-2303</v>
      </c>
      <c r="D1177" s="2" t="s">
        <v>782</v>
      </c>
      <c r="E1177" s="2" t="str">
        <f>"0223-33-1811  "</f>
        <v xml:space="preserve">0223-33-1811  </v>
      </c>
      <c r="F1177" s="2" t="s">
        <v>6</v>
      </c>
      <c r="G1177" s="2" t="s">
        <v>783</v>
      </c>
    </row>
    <row r="1178" spans="1:7" ht="37.5" x14ac:dyDescent="0.4">
      <c r="A1178" s="2">
        <v>1177</v>
      </c>
      <c r="B1178" s="2" t="s">
        <v>1670</v>
      </c>
      <c r="C1178" s="2" t="str">
        <f>"989-2351"</f>
        <v>989-2351</v>
      </c>
      <c r="D1178" s="2" t="str">
        <f>"亘理郡亘理町字新町５３－４"</f>
        <v>亘理郡亘理町字新町５３－４</v>
      </c>
      <c r="E1178" s="2" t="str">
        <f>"0223-32-1530  "</f>
        <v xml:space="preserve">0223-32-1530  </v>
      </c>
      <c r="F1178" s="2" t="s">
        <v>9</v>
      </c>
      <c r="G1178" s="2" t="s">
        <v>1063</v>
      </c>
    </row>
    <row r="1179" spans="1:7" ht="37.5" x14ac:dyDescent="0.4">
      <c r="A1179" s="2">
        <v>1178</v>
      </c>
      <c r="B1179" s="2" t="s">
        <v>780</v>
      </c>
      <c r="C1179" s="2" t="str">
        <f>"989-2351"</f>
        <v>989-2351</v>
      </c>
      <c r="D1179" s="2" t="str">
        <f>"亘理郡亘理町字新町６２－１２"</f>
        <v>亘理郡亘理町字新町６２－１２</v>
      </c>
      <c r="E1179" s="2" t="str">
        <f>"0223-34-0855  "</f>
        <v xml:space="preserve">0223-34-0855  </v>
      </c>
      <c r="F1179" s="2" t="s">
        <v>6</v>
      </c>
      <c r="G1179" s="2" t="s">
        <v>48</v>
      </c>
    </row>
    <row r="1180" spans="1:7" ht="37.5" x14ac:dyDescent="0.4">
      <c r="A1180" s="2">
        <v>1179</v>
      </c>
      <c r="B1180" s="2" t="s">
        <v>1035</v>
      </c>
      <c r="C1180" s="2" t="str">
        <f>"989-2351"</f>
        <v>989-2351</v>
      </c>
      <c r="D1180" s="2" t="s">
        <v>1036</v>
      </c>
      <c r="E1180" s="2" t="str">
        <f>"0223-34-4733  "</f>
        <v xml:space="preserve">0223-34-4733  </v>
      </c>
      <c r="F1180" s="2" t="s">
        <v>6</v>
      </c>
      <c r="G1180" s="2" t="s">
        <v>923</v>
      </c>
    </row>
    <row r="1181" spans="1:7" ht="37.5" x14ac:dyDescent="0.4">
      <c r="A1181" s="2">
        <v>1180</v>
      </c>
      <c r="B1181" s="2" t="s">
        <v>1669</v>
      </c>
      <c r="C1181" s="2" t="str">
        <f>"989-2351"</f>
        <v>989-2351</v>
      </c>
      <c r="D1181" s="2" t="str">
        <f>"亘理郡亘理町字中町東１６８－３"</f>
        <v>亘理郡亘理町字中町東１６８－３</v>
      </c>
      <c r="E1181" s="2" t="str">
        <f>"0223-32-1221  "</f>
        <v xml:space="preserve">0223-32-1221  </v>
      </c>
      <c r="F1181" s="2" t="s">
        <v>9</v>
      </c>
      <c r="G1181" s="2" t="s">
        <v>1063</v>
      </c>
    </row>
    <row r="1182" spans="1:7" ht="37.5" x14ac:dyDescent="0.4">
      <c r="A1182" s="2">
        <v>1181</v>
      </c>
      <c r="B1182" s="2" t="s">
        <v>793</v>
      </c>
      <c r="C1182" s="2" t="str">
        <f>"989-2351"</f>
        <v>989-2351</v>
      </c>
      <c r="D1182" s="2" t="s">
        <v>794</v>
      </c>
      <c r="E1182" s="2" t="str">
        <f>"0223-23-0366  "</f>
        <v xml:space="preserve">0223-23-0366  </v>
      </c>
      <c r="F1182" s="2" t="s">
        <v>6</v>
      </c>
      <c r="G1182" s="2" t="s">
        <v>204</v>
      </c>
    </row>
    <row r="1183" spans="1:7" ht="37.5" x14ac:dyDescent="0.4">
      <c r="A1183" s="2">
        <v>1182</v>
      </c>
      <c r="B1183" s="2" t="s">
        <v>759</v>
      </c>
      <c r="C1183" s="2" t="str">
        <f>"989-2351"</f>
        <v>989-2351</v>
      </c>
      <c r="D1183" s="2" t="str">
        <f>"亘理郡亘理町字裏城戸　１７９－１"</f>
        <v>亘理郡亘理町字裏城戸　１７９－１</v>
      </c>
      <c r="E1183" s="2" t="str">
        <f>"0223-34-3711  "</f>
        <v xml:space="preserve">0223-34-3711  </v>
      </c>
      <c r="F1183" s="2" t="s">
        <v>6</v>
      </c>
      <c r="G1183" s="2" t="s">
        <v>760</v>
      </c>
    </row>
    <row r="1184" spans="1:7" x14ac:dyDescent="0.4">
      <c r="A1184" s="2">
        <v>1183</v>
      </c>
      <c r="B1184" s="2" t="s">
        <v>1676</v>
      </c>
      <c r="C1184" s="2" t="str">
        <f>"989-2351"</f>
        <v>989-2351</v>
      </c>
      <c r="D1184" s="2" t="str">
        <f>"亘理郡亘理町上茨田4－9"</f>
        <v>亘理郡亘理町上茨田4－9</v>
      </c>
      <c r="E1184" s="2" t="str">
        <f>"0223-34-0987  "</f>
        <v xml:space="preserve">0223-34-0987  </v>
      </c>
      <c r="F1184" s="2" t="s">
        <v>9</v>
      </c>
      <c r="G1184" s="2" t="s">
        <v>1129</v>
      </c>
    </row>
  </sheetData>
  <autoFilter ref="B1:G1184">
    <sortState ref="B2:G1184">
      <sortCondition ref="D1:D1184"/>
    </sortState>
  </autoFilter>
  <phoneticPr fontId="18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難病指定医療機関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加藤　宏基</dc:creator>
  <cp:lastModifiedBy>Owner</cp:lastModifiedBy>
  <dcterms:created xsi:type="dcterms:W3CDTF">2025-04-02T02:38:50Z</dcterms:created>
  <dcterms:modified xsi:type="dcterms:W3CDTF">2025-04-02T07:07:40Z</dcterms:modified>
</cp:coreProperties>
</file>