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200\団体指導検査班\02 団体指導担当\04 漁協関係\010 年報\R5年度\04統計編\02_掲載用データ（着色・コメント欄消し・ページ調整後）\"/>
    </mc:Choice>
  </mc:AlternateContent>
  <bookViews>
    <workbookView xWindow="0" yWindow="0" windowWidth="28800" windowHeight="12210" activeTab="1"/>
  </bookViews>
  <sheets>
    <sheet name="組織" sheetId="1" r:id="rId1"/>
    <sheet name="事業1" sheetId="2" r:id="rId2"/>
    <sheet name="事業2" sheetId="3" r:id="rId3"/>
    <sheet name="貸借" sheetId="4" r:id="rId4"/>
    <sheet name="損益" sheetId="5" r:id="rId5"/>
  </sheets>
  <definedNames>
    <definedName name="_Regression_Int" localSheetId="1" hidden="1">1</definedName>
    <definedName name="_Regression_Int" localSheetId="2" hidden="1">1</definedName>
    <definedName name="_Regression_Int" localSheetId="0" hidden="1">1</definedName>
    <definedName name="_Regression_Int" localSheetId="4" hidden="1">1</definedName>
    <definedName name="_Regression_Int" localSheetId="3" hidden="1">1</definedName>
    <definedName name="_xlnm.Print_Area" localSheetId="1">事業1!$A$1:$BB$21</definedName>
    <definedName name="_xlnm.Print_Area" localSheetId="2">事業2!$A$1:$AO$21</definedName>
    <definedName name="_xlnm.Print_Area" localSheetId="0">組織!$A$1:$Z$22</definedName>
    <definedName name="_xlnm.Print_Area" localSheetId="4">損益!$A$1:$BB$20</definedName>
    <definedName name="_xlnm.Print_Area" localSheetId="3">貸借!$A$1:$CM$21</definedName>
    <definedName name="Print_Area_MI" localSheetId="1">事業1!$B$1:$BA$21</definedName>
    <definedName name="Print_Area_MI" localSheetId="2">事業2!$B$1:$AN$21</definedName>
    <definedName name="Print_Area_MI" localSheetId="0">組織!$B$1:$X$22</definedName>
    <definedName name="Print_Area_MI" localSheetId="4">損益!$AM$1:$AX$20</definedName>
    <definedName name="Print_Area_MI" localSheetId="3">貸借!$CB$1:$CL$21</definedName>
    <definedName name="Print_Titles_MI" localSheetId="4">損益!$B:$C</definedName>
    <definedName name="Print_Titles_MI" localSheetId="3">貸借!$B:$C</definedName>
  </definedNames>
  <calcPr calcId="162913"/>
</workbook>
</file>

<file path=xl/calcChain.xml><?xml version="1.0" encoding="utf-8"?>
<calcChain xmlns="http://schemas.openxmlformats.org/spreadsheetml/2006/main">
  <c r="AN18" i="5" l="1"/>
  <c r="AC17" i="5"/>
  <c r="P18" i="5"/>
  <c r="W8" i="4" l="1"/>
  <c r="W9" i="4"/>
  <c r="AF16" i="3" l="1"/>
  <c r="Z13" i="2" l="1"/>
  <c r="AF11" i="3"/>
  <c r="AB11" i="2"/>
  <c r="Z11" i="2"/>
  <c r="AD18" i="5" l="1"/>
  <c r="AC18" i="5"/>
  <c r="M18" i="5"/>
  <c r="BE19" i="4"/>
  <c r="BJ19" i="4"/>
  <c r="BD19" i="4"/>
  <c r="R19" i="4"/>
  <c r="T19" i="4"/>
  <c r="AH19" i="4"/>
  <c r="AG19" i="4"/>
  <c r="AG20" i="4" s="1"/>
  <c r="AB19" i="4"/>
  <c r="U19" i="4"/>
  <c r="E19" i="4"/>
  <c r="AI19" i="4" l="1"/>
  <c r="AD17" i="5"/>
  <c r="BN17" i="4"/>
  <c r="BJ16" i="4"/>
  <c r="AP13" i="5"/>
  <c r="CH14" i="4"/>
  <c r="BJ14" i="4"/>
  <c r="AD12" i="5"/>
  <c r="AC12" i="5"/>
  <c r="Q12" i="5"/>
  <c r="P12" i="5"/>
  <c r="BN13" i="4"/>
  <c r="AC11" i="5"/>
  <c r="Q11" i="5"/>
  <c r="P11" i="5"/>
  <c r="BJ12" i="4"/>
  <c r="BJ9" i="4"/>
  <c r="AD7" i="5"/>
  <c r="AC7" i="5"/>
  <c r="L9" i="1"/>
  <c r="CK12" i="4" l="1"/>
  <c r="E11" i="1"/>
  <c r="AI8" i="4" l="1"/>
  <c r="G13" i="1" l="1"/>
  <c r="W19" i="4" l="1"/>
  <c r="AI18" i="4"/>
  <c r="AH11" i="2" l="1"/>
  <c r="AQ8" i="4"/>
  <c r="AH8" i="2" l="1"/>
  <c r="CE10" i="4" l="1"/>
  <c r="G10" i="1" l="1"/>
  <c r="CK18" i="4" l="1"/>
  <c r="AB20" i="2"/>
  <c r="AI13" i="4"/>
  <c r="W13" i="4"/>
  <c r="P13" i="4"/>
  <c r="L15" i="1"/>
  <c r="L17" i="1"/>
  <c r="L18" i="1"/>
  <c r="L19" i="1"/>
  <c r="L20" i="1"/>
  <c r="CK14" i="4" l="1"/>
  <c r="AF16" i="2" l="1"/>
  <c r="AF14" i="2"/>
  <c r="BJ15" i="4"/>
  <c r="CK11" i="4" l="1"/>
  <c r="AK10" i="3"/>
  <c r="CK8" i="4"/>
  <c r="CK7" i="4"/>
  <c r="BV10" i="4"/>
  <c r="AB10" i="4"/>
  <c r="D15" i="4"/>
  <c r="D10" i="4"/>
  <c r="AG13" i="5" l="1"/>
  <c r="AZ19" i="5" l="1"/>
  <c r="AY19" i="5"/>
  <c r="AW19" i="5"/>
  <c r="AV19" i="5"/>
  <c r="AT19" i="5"/>
  <c r="AS19" i="5"/>
  <c r="AQ19" i="5"/>
  <c r="AP19" i="5"/>
  <c r="AN19" i="5"/>
  <c r="AM19" i="5"/>
  <c r="AD19" i="5"/>
  <c r="AC19" i="5"/>
  <c r="AA19" i="5"/>
  <c r="Z19" i="5"/>
  <c r="X19" i="5"/>
  <c r="W19" i="5"/>
  <c r="Q19" i="5"/>
  <c r="P19" i="5"/>
  <c r="N19" i="5"/>
  <c r="M19" i="5"/>
  <c r="K19" i="5"/>
  <c r="J19" i="5"/>
  <c r="H19" i="5"/>
  <c r="G19" i="5"/>
  <c r="E19" i="5"/>
  <c r="D19" i="5"/>
  <c r="AG18" i="5"/>
  <c r="AF18" i="5"/>
  <c r="AE18" i="5"/>
  <c r="AB18" i="5"/>
  <c r="Y18" i="5"/>
  <c r="R18" i="5"/>
  <c r="O18" i="5"/>
  <c r="L18" i="5"/>
  <c r="I18" i="5"/>
  <c r="F18" i="5"/>
  <c r="AG17" i="5"/>
  <c r="AF17" i="5"/>
  <c r="AE17" i="5"/>
  <c r="AB17" i="5"/>
  <c r="Y17" i="5"/>
  <c r="R17" i="5"/>
  <c r="O17" i="5"/>
  <c r="L17" i="5"/>
  <c r="I17" i="5"/>
  <c r="F17" i="5"/>
  <c r="AG16" i="5"/>
  <c r="AF16" i="5"/>
  <c r="AE16" i="5"/>
  <c r="AB16" i="5"/>
  <c r="Y16" i="5"/>
  <c r="R16" i="5"/>
  <c r="O16" i="5"/>
  <c r="L16" i="5"/>
  <c r="I16" i="5"/>
  <c r="F16" i="5"/>
  <c r="AG15" i="5"/>
  <c r="AF15" i="5"/>
  <c r="AE15" i="5"/>
  <c r="AB15" i="5"/>
  <c r="Y15" i="5"/>
  <c r="R15" i="5"/>
  <c r="O15" i="5"/>
  <c r="L15" i="5"/>
  <c r="I15" i="5"/>
  <c r="F15" i="5"/>
  <c r="AZ14" i="5"/>
  <c r="AY14" i="5"/>
  <c r="AW14" i="5"/>
  <c r="AV14" i="5"/>
  <c r="AT14" i="5"/>
  <c r="AS14" i="5"/>
  <c r="AQ14" i="5"/>
  <c r="AP14" i="5"/>
  <c r="AN14" i="5"/>
  <c r="AM14" i="5"/>
  <c r="AD14" i="5"/>
  <c r="AC14" i="5"/>
  <c r="AA14" i="5"/>
  <c r="Z14" i="5"/>
  <c r="X14" i="5"/>
  <c r="W14" i="5"/>
  <c r="Q14" i="5"/>
  <c r="P14" i="5"/>
  <c r="N14" i="5"/>
  <c r="M14" i="5"/>
  <c r="K14" i="5"/>
  <c r="J14" i="5"/>
  <c r="H14" i="5"/>
  <c r="G14" i="5"/>
  <c r="E14" i="5"/>
  <c r="D14" i="5"/>
  <c r="AF13" i="5"/>
  <c r="AE13" i="5"/>
  <c r="AB13" i="5"/>
  <c r="Y13" i="5"/>
  <c r="R13" i="5"/>
  <c r="O13" i="5"/>
  <c r="L13" i="5"/>
  <c r="I13" i="5"/>
  <c r="F13" i="5"/>
  <c r="AG12" i="5"/>
  <c r="AF12" i="5"/>
  <c r="AE12" i="5"/>
  <c r="AB12" i="5"/>
  <c r="Y12" i="5"/>
  <c r="R12" i="5"/>
  <c r="O12" i="5"/>
  <c r="L12" i="5"/>
  <c r="I12" i="5"/>
  <c r="F12" i="5"/>
  <c r="AG11" i="5"/>
  <c r="AF11" i="5"/>
  <c r="AE11" i="5"/>
  <c r="AB11" i="5"/>
  <c r="Y11" i="5"/>
  <c r="R11" i="5"/>
  <c r="O11" i="5"/>
  <c r="L11" i="5"/>
  <c r="I11" i="5"/>
  <c r="F11" i="5"/>
  <c r="AG10" i="5"/>
  <c r="AF10" i="5"/>
  <c r="AE10" i="5"/>
  <c r="AB10" i="5"/>
  <c r="Y10" i="5"/>
  <c r="R10" i="5"/>
  <c r="O10" i="5"/>
  <c r="L10" i="5"/>
  <c r="I10" i="5"/>
  <c r="F10" i="5"/>
  <c r="AZ9" i="5"/>
  <c r="AY9" i="5"/>
  <c r="AW9" i="5"/>
  <c r="AV9" i="5"/>
  <c r="AT9" i="5"/>
  <c r="AS9" i="5"/>
  <c r="AQ9" i="5"/>
  <c r="AP9" i="5"/>
  <c r="AN9" i="5"/>
  <c r="AM9" i="5"/>
  <c r="AD9" i="5"/>
  <c r="AC9" i="5"/>
  <c r="AA9" i="5"/>
  <c r="Z9" i="5"/>
  <c r="X9" i="5"/>
  <c r="W9" i="5"/>
  <c r="Q9" i="5"/>
  <c r="P9" i="5"/>
  <c r="N9" i="5"/>
  <c r="M9" i="5"/>
  <c r="K9" i="5"/>
  <c r="J9" i="5"/>
  <c r="H9" i="5"/>
  <c r="G9" i="5"/>
  <c r="E9" i="5"/>
  <c r="D9" i="5"/>
  <c r="AG8" i="5"/>
  <c r="AF8" i="5"/>
  <c r="AE8" i="5"/>
  <c r="AB8" i="5"/>
  <c r="Y8" i="5"/>
  <c r="R8" i="5"/>
  <c r="O8" i="5"/>
  <c r="L8" i="5"/>
  <c r="I8" i="5"/>
  <c r="F8" i="5"/>
  <c r="AG7" i="5"/>
  <c r="AF7" i="5"/>
  <c r="AE7" i="5"/>
  <c r="AB7" i="5"/>
  <c r="Y7" i="5"/>
  <c r="R7" i="5"/>
  <c r="O7" i="5"/>
  <c r="L7" i="5"/>
  <c r="I7" i="5"/>
  <c r="F7" i="5"/>
  <c r="AG6" i="5"/>
  <c r="AF6" i="5"/>
  <c r="AE6" i="5"/>
  <c r="AB6" i="5"/>
  <c r="Y6" i="5"/>
  <c r="R6" i="5"/>
  <c r="O6" i="5"/>
  <c r="L6" i="5"/>
  <c r="I6" i="5"/>
  <c r="F6" i="5"/>
  <c r="CJ20" i="4"/>
  <c r="CI20" i="4"/>
  <c r="CH20" i="4"/>
  <c r="CG20" i="4"/>
  <c r="CF20" i="4"/>
  <c r="CE20" i="4"/>
  <c r="CD20" i="4"/>
  <c r="CC20" i="4"/>
  <c r="CB20" i="4"/>
  <c r="BZ20" i="4"/>
  <c r="BY20" i="4"/>
  <c r="BW20" i="4"/>
  <c r="BV20" i="4"/>
  <c r="BU20" i="4"/>
  <c r="BT20" i="4"/>
  <c r="BN20" i="4"/>
  <c r="BM20" i="4"/>
  <c r="BL20" i="4"/>
  <c r="BJ20" i="4"/>
  <c r="BI20" i="4"/>
  <c r="BH20" i="4"/>
  <c r="BG20" i="4"/>
  <c r="BF20" i="4"/>
  <c r="BE20" i="4"/>
  <c r="BD20" i="4"/>
  <c r="BC20" i="4"/>
  <c r="BA20" i="4"/>
  <c r="AZ20" i="4"/>
  <c r="AY20" i="4"/>
  <c r="AX20" i="4"/>
  <c r="AR20" i="4"/>
  <c r="AP20" i="4"/>
  <c r="AO20" i="4"/>
  <c r="AL20" i="4"/>
  <c r="AK20" i="4"/>
  <c r="AJ20" i="4"/>
  <c r="AH20" i="4"/>
  <c r="AF20" i="4"/>
  <c r="AE20" i="4"/>
  <c r="AD20" i="4"/>
  <c r="AC20" i="4"/>
  <c r="AB20" i="4"/>
  <c r="V20" i="4"/>
  <c r="U20" i="4"/>
  <c r="T20" i="4"/>
  <c r="S20" i="4"/>
  <c r="R20" i="4"/>
  <c r="Q20" i="4"/>
  <c r="O20" i="4"/>
  <c r="N20" i="4"/>
  <c r="L20" i="4"/>
  <c r="K20" i="4"/>
  <c r="I20" i="4"/>
  <c r="H20" i="4"/>
  <c r="G20" i="4"/>
  <c r="F20" i="4"/>
  <c r="E20" i="4"/>
  <c r="D20" i="4"/>
  <c r="CK19" i="4"/>
  <c r="BX19" i="4"/>
  <c r="BO19" i="4"/>
  <c r="BK19" i="4"/>
  <c r="BB19" i="4"/>
  <c r="AS19" i="4"/>
  <c r="AQ19" i="4"/>
  <c r="P19" i="4"/>
  <c r="J19" i="4"/>
  <c r="M19" i="4" s="1"/>
  <c r="BX18" i="4"/>
  <c r="BO18" i="4"/>
  <c r="BK18" i="4"/>
  <c r="BB18" i="4"/>
  <c r="AQ18" i="4"/>
  <c r="AS18" i="4" s="1"/>
  <c r="W18" i="4"/>
  <c r="P18" i="4"/>
  <c r="J18" i="4"/>
  <c r="M18" i="4" s="1"/>
  <c r="CK17" i="4"/>
  <c r="BX17" i="4"/>
  <c r="BO17" i="4"/>
  <c r="BK17" i="4"/>
  <c r="BB17" i="4"/>
  <c r="BB20" i="4" s="1"/>
  <c r="AQ17" i="4"/>
  <c r="AS17" i="4" s="1"/>
  <c r="AI17" i="4"/>
  <c r="W17" i="4"/>
  <c r="P17" i="4"/>
  <c r="J17" i="4"/>
  <c r="M17" i="4" s="1"/>
  <c r="CK16" i="4"/>
  <c r="BX16" i="4"/>
  <c r="BO16" i="4"/>
  <c r="BK16" i="4"/>
  <c r="AQ16" i="4"/>
  <c r="AI16" i="4"/>
  <c r="W16" i="4"/>
  <c r="M16" i="4"/>
  <c r="CJ15" i="4"/>
  <c r="CI15" i="4"/>
  <c r="CH15" i="4"/>
  <c r="CG15" i="4"/>
  <c r="CF15" i="4"/>
  <c r="CE15" i="4"/>
  <c r="CD15" i="4"/>
  <c r="CC15" i="4"/>
  <c r="CB15" i="4"/>
  <c r="BZ15" i="4"/>
  <c r="BY15" i="4"/>
  <c r="BW15" i="4"/>
  <c r="BV15" i="4"/>
  <c r="BU15" i="4"/>
  <c r="BT15" i="4"/>
  <c r="BN15" i="4"/>
  <c r="BM15" i="4"/>
  <c r="BL15" i="4"/>
  <c r="BI15" i="4"/>
  <c r="BH15" i="4"/>
  <c r="BG15" i="4"/>
  <c r="BF15" i="4"/>
  <c r="BE15" i="4"/>
  <c r="BD15" i="4"/>
  <c r="BC15" i="4"/>
  <c r="BA15" i="4"/>
  <c r="AZ15" i="4"/>
  <c r="AY15" i="4"/>
  <c r="AX15" i="4"/>
  <c r="AR15" i="4"/>
  <c r="AP15" i="4"/>
  <c r="AO15" i="4"/>
  <c r="AL15" i="4"/>
  <c r="AK15" i="4"/>
  <c r="AJ15" i="4"/>
  <c r="AH15" i="4"/>
  <c r="AG15" i="4"/>
  <c r="AF15" i="4"/>
  <c r="AE15" i="4"/>
  <c r="AD15" i="4"/>
  <c r="AC15" i="4"/>
  <c r="AB15" i="4"/>
  <c r="V15" i="4"/>
  <c r="U15" i="4"/>
  <c r="T15" i="4"/>
  <c r="S15" i="4"/>
  <c r="R15" i="4"/>
  <c r="Q15" i="4"/>
  <c r="O15" i="4"/>
  <c r="N15" i="4"/>
  <c r="L15" i="4"/>
  <c r="K15" i="4"/>
  <c r="I15" i="4"/>
  <c r="H15" i="4"/>
  <c r="G15" i="4"/>
  <c r="F15" i="4"/>
  <c r="E15" i="4"/>
  <c r="BX14" i="4"/>
  <c r="BO14" i="4"/>
  <c r="BK14" i="4"/>
  <c r="BB14" i="4"/>
  <c r="AQ14" i="4"/>
  <c r="AS14" i="4" s="1"/>
  <c r="AI14" i="4"/>
  <c r="W14" i="4"/>
  <c r="P14" i="4"/>
  <c r="J14" i="4"/>
  <c r="M14" i="4" s="1"/>
  <c r="CK13" i="4"/>
  <c r="BX13" i="4"/>
  <c r="BO13" i="4"/>
  <c r="BK13" i="4"/>
  <c r="BB13" i="4"/>
  <c r="AQ13" i="4"/>
  <c r="J13" i="4"/>
  <c r="M13" i="4" s="1"/>
  <c r="AM13" i="4" s="1"/>
  <c r="BX12" i="4"/>
  <c r="BO12" i="4"/>
  <c r="BK12" i="4"/>
  <c r="BB12" i="4"/>
  <c r="AQ12" i="4"/>
  <c r="AS12" i="4" s="1"/>
  <c r="AI12" i="4"/>
  <c r="W12" i="4"/>
  <c r="P12" i="4"/>
  <c r="J12" i="4"/>
  <c r="M12" i="4" s="1"/>
  <c r="BX11" i="4"/>
  <c r="BO11" i="4"/>
  <c r="BK11" i="4"/>
  <c r="BB11" i="4"/>
  <c r="AQ11" i="4"/>
  <c r="AS11" i="4" s="1"/>
  <c r="AI11" i="4"/>
  <c r="W11" i="4"/>
  <c r="P11" i="4"/>
  <c r="J11" i="4"/>
  <c r="CJ10" i="4"/>
  <c r="CI10" i="4"/>
  <c r="CH10" i="4"/>
  <c r="CG10" i="4"/>
  <c r="CF10" i="4"/>
  <c r="CD10" i="4"/>
  <c r="CC10" i="4"/>
  <c r="CB10" i="4"/>
  <c r="BZ10" i="4"/>
  <c r="BY10" i="4"/>
  <c r="BW10" i="4"/>
  <c r="BU10" i="4"/>
  <c r="BT10" i="4"/>
  <c r="BN10" i="4"/>
  <c r="BM10" i="4"/>
  <c r="BL10" i="4"/>
  <c r="BJ10" i="4"/>
  <c r="BI10" i="4"/>
  <c r="BH10" i="4"/>
  <c r="BF10" i="4"/>
  <c r="BE10" i="4"/>
  <c r="BD10" i="4"/>
  <c r="BC10" i="4"/>
  <c r="BA10" i="4"/>
  <c r="AZ10" i="4"/>
  <c r="AY10" i="4"/>
  <c r="AX10" i="4"/>
  <c r="AR10" i="4"/>
  <c r="AP10" i="4"/>
  <c r="AO10" i="4"/>
  <c r="AL10" i="4"/>
  <c r="AK10" i="4"/>
  <c r="AJ10" i="4"/>
  <c r="AH10" i="4"/>
  <c r="AG10" i="4"/>
  <c r="AF10" i="4"/>
  <c r="AE10" i="4"/>
  <c r="AD10" i="4"/>
  <c r="AC10" i="4"/>
  <c r="V10" i="4"/>
  <c r="U10" i="4"/>
  <c r="T10" i="4"/>
  <c r="R10" i="4"/>
  <c r="Q10" i="4"/>
  <c r="O10" i="4"/>
  <c r="N10" i="4"/>
  <c r="L10" i="4"/>
  <c r="K10" i="4"/>
  <c r="I10" i="4"/>
  <c r="H10" i="4"/>
  <c r="G10" i="4"/>
  <c r="F10" i="4"/>
  <c r="E10" i="4"/>
  <c r="CK9" i="4"/>
  <c r="BX9" i="4"/>
  <c r="BO9" i="4"/>
  <c r="BK9" i="4"/>
  <c r="BB9" i="4"/>
  <c r="AQ9" i="4"/>
  <c r="AS9" i="4" s="1"/>
  <c r="AI9" i="4"/>
  <c r="P9" i="4"/>
  <c r="J9" i="4"/>
  <c r="M9" i="4" s="1"/>
  <c r="BX8" i="4"/>
  <c r="BO8" i="4"/>
  <c r="BK8" i="4"/>
  <c r="BB8" i="4"/>
  <c r="AS8" i="4"/>
  <c r="P8" i="4"/>
  <c r="J8" i="4"/>
  <c r="BX7" i="4"/>
  <c r="BO7" i="4"/>
  <c r="BK7" i="4"/>
  <c r="BB7" i="4"/>
  <c r="AQ7" i="4"/>
  <c r="AI7" i="4"/>
  <c r="W7" i="4"/>
  <c r="P7" i="4"/>
  <c r="J7" i="4"/>
  <c r="M7" i="4" s="1"/>
  <c r="AN20" i="3"/>
  <c r="AM20" i="3"/>
  <c r="AL20" i="3"/>
  <c r="AK20" i="3"/>
  <c r="AH20" i="3"/>
  <c r="AG20" i="3"/>
  <c r="AF20" i="3"/>
  <c r="AD20" i="3"/>
  <c r="AC20" i="3"/>
  <c r="V20" i="3"/>
  <c r="U20" i="3"/>
  <c r="T20" i="3"/>
  <c r="S20" i="3"/>
  <c r="R20" i="3"/>
  <c r="Q20" i="3"/>
  <c r="P20" i="3"/>
  <c r="O20" i="3"/>
  <c r="N20" i="3"/>
  <c r="L20" i="3"/>
  <c r="K20" i="3"/>
  <c r="J20" i="3"/>
  <c r="I20" i="3"/>
  <c r="H20" i="3"/>
  <c r="G20" i="3"/>
  <c r="F20" i="3"/>
  <c r="E20" i="3"/>
  <c r="D20" i="3"/>
  <c r="AI19" i="3"/>
  <c r="AE19" i="3"/>
  <c r="AJ19" i="3" s="1"/>
  <c r="W19" i="3"/>
  <c r="M19" i="3"/>
  <c r="AI18" i="3"/>
  <c r="AE18" i="3"/>
  <c r="W18" i="3"/>
  <c r="M18" i="3"/>
  <c r="AI17" i="3"/>
  <c r="AE17" i="3"/>
  <c r="AJ17" i="3" s="1"/>
  <c r="W17" i="3"/>
  <c r="M17" i="3"/>
  <c r="AI16" i="3"/>
  <c r="AE16" i="3"/>
  <c r="AJ16" i="3" s="1"/>
  <c r="W16" i="3"/>
  <c r="M16" i="3"/>
  <c r="AN15" i="3"/>
  <c r="AM15" i="3"/>
  <c r="AL15" i="3"/>
  <c r="AK15" i="3"/>
  <c r="AH15" i="3"/>
  <c r="AG15" i="3"/>
  <c r="AF15" i="3"/>
  <c r="AD15" i="3"/>
  <c r="AC15" i="3"/>
  <c r="V15" i="3"/>
  <c r="U15" i="3"/>
  <c r="T15" i="3"/>
  <c r="S15" i="3"/>
  <c r="R15" i="3"/>
  <c r="Q15" i="3"/>
  <c r="P15" i="3"/>
  <c r="O15" i="3"/>
  <c r="N15" i="3"/>
  <c r="L15" i="3"/>
  <c r="K15" i="3"/>
  <c r="J15" i="3"/>
  <c r="I15" i="3"/>
  <c r="H15" i="3"/>
  <c r="G15" i="3"/>
  <c r="F15" i="3"/>
  <c r="E15" i="3"/>
  <c r="D15" i="3"/>
  <c r="AI14" i="3"/>
  <c r="AE14" i="3"/>
  <c r="W14" i="3"/>
  <c r="M14" i="3"/>
  <c r="AI13" i="3"/>
  <c r="AE13" i="3"/>
  <c r="W13" i="3"/>
  <c r="M13" i="3"/>
  <c r="AI12" i="3"/>
  <c r="AE12" i="3"/>
  <c r="W12" i="3"/>
  <c r="M12" i="3"/>
  <c r="AI11" i="3"/>
  <c r="AE11" i="3"/>
  <c r="W11" i="3"/>
  <c r="M11" i="3"/>
  <c r="AN10" i="3"/>
  <c r="AM10" i="3"/>
  <c r="AL10" i="3"/>
  <c r="AH10" i="3"/>
  <c r="AG10" i="3"/>
  <c r="AF10" i="3"/>
  <c r="AD10" i="3"/>
  <c r="AC10" i="3"/>
  <c r="V10" i="3"/>
  <c r="U10" i="3"/>
  <c r="T10" i="3"/>
  <c r="S10" i="3"/>
  <c r="R10" i="3"/>
  <c r="Q10" i="3"/>
  <c r="P10" i="3"/>
  <c r="O10" i="3"/>
  <c r="N10" i="3"/>
  <c r="L10" i="3"/>
  <c r="K10" i="3"/>
  <c r="J10" i="3"/>
  <c r="I10" i="3"/>
  <c r="H10" i="3"/>
  <c r="G10" i="3"/>
  <c r="F10" i="3"/>
  <c r="E10" i="3"/>
  <c r="D10" i="3"/>
  <c r="AI9" i="3"/>
  <c r="AE9" i="3"/>
  <c r="W9" i="3"/>
  <c r="M9" i="3"/>
  <c r="AI8" i="3"/>
  <c r="AE8" i="3"/>
  <c r="W8" i="3"/>
  <c r="M8" i="3"/>
  <c r="AI7" i="3"/>
  <c r="AE7" i="3"/>
  <c r="W7" i="3"/>
  <c r="M7" i="3"/>
  <c r="AU20" i="2"/>
  <c r="AT20" i="2"/>
  <c r="AS20" i="2"/>
  <c r="AR20" i="2"/>
  <c r="AQ20" i="2"/>
  <c r="AP20" i="2"/>
  <c r="AO20" i="2"/>
  <c r="AN20" i="2"/>
  <c r="AM20" i="2"/>
  <c r="AE20" i="2"/>
  <c r="AD20" i="2"/>
  <c r="AC20" i="2"/>
  <c r="AA20" i="2"/>
  <c r="Z20" i="2"/>
  <c r="Y20" i="2"/>
  <c r="X20" i="2"/>
  <c r="W20" i="2"/>
  <c r="R20" i="2"/>
  <c r="Q20" i="2"/>
  <c r="P20" i="2"/>
  <c r="O20" i="2"/>
  <c r="N20" i="2"/>
  <c r="M20" i="2"/>
  <c r="L20" i="2"/>
  <c r="K20" i="2"/>
  <c r="I20" i="2"/>
  <c r="H20" i="2"/>
  <c r="F20" i="2"/>
  <c r="E20" i="2"/>
  <c r="D20" i="2"/>
  <c r="AX19" i="2"/>
  <c r="AW19" i="2"/>
  <c r="AV19" i="2"/>
  <c r="AH19" i="2"/>
  <c r="AG19" i="2"/>
  <c r="AZ19" i="2" s="1"/>
  <c r="AF19" i="2"/>
  <c r="J19" i="2"/>
  <c r="G19" i="2"/>
  <c r="AX18" i="2"/>
  <c r="AW18" i="2"/>
  <c r="AV18" i="2"/>
  <c r="AH18" i="2"/>
  <c r="AG18" i="2"/>
  <c r="AF18" i="2"/>
  <c r="J18" i="2"/>
  <c r="G18" i="2"/>
  <c r="AX17" i="2"/>
  <c r="AW17" i="2"/>
  <c r="AV17" i="2"/>
  <c r="AH17" i="2"/>
  <c r="AG17" i="2"/>
  <c r="AF17" i="2"/>
  <c r="J17" i="2"/>
  <c r="G17" i="2"/>
  <c r="AX16" i="2"/>
  <c r="AW16" i="2"/>
  <c r="AW20" i="2" s="1"/>
  <c r="AV16" i="2"/>
  <c r="AY16" i="2" s="1"/>
  <c r="AH16" i="2"/>
  <c r="AG16" i="2"/>
  <c r="G16" i="2"/>
  <c r="J16" i="2" s="1"/>
  <c r="AU15" i="2"/>
  <c r="AT15" i="2"/>
  <c r="AS15" i="2"/>
  <c r="AR15" i="2"/>
  <c r="AQ15" i="2"/>
  <c r="AP15" i="2"/>
  <c r="AO15" i="2"/>
  <c r="AN15" i="2"/>
  <c r="AM15" i="2"/>
  <c r="AE15" i="2"/>
  <c r="AD15" i="2"/>
  <c r="AC15" i="2"/>
  <c r="AB15" i="2"/>
  <c r="AA15" i="2"/>
  <c r="Z15" i="2"/>
  <c r="Y15" i="2"/>
  <c r="X15" i="2"/>
  <c r="W15" i="2"/>
  <c r="R15" i="2"/>
  <c r="Q15" i="2"/>
  <c r="P15" i="2"/>
  <c r="O15" i="2"/>
  <c r="N15" i="2"/>
  <c r="M15" i="2"/>
  <c r="L15" i="2"/>
  <c r="K15" i="2"/>
  <c r="I15" i="2"/>
  <c r="H15" i="2"/>
  <c r="F15" i="2"/>
  <c r="E15" i="2"/>
  <c r="D15" i="2"/>
  <c r="AX14" i="2"/>
  <c r="AW14" i="2"/>
  <c r="AV14" i="2"/>
  <c r="AY14" i="2" s="1"/>
  <c r="AH14" i="2"/>
  <c r="AG14" i="2"/>
  <c r="J14" i="2"/>
  <c r="G14" i="2"/>
  <c r="AX13" i="2"/>
  <c r="AW13" i="2"/>
  <c r="AV13" i="2"/>
  <c r="AH13" i="2"/>
  <c r="AG13" i="2"/>
  <c r="AF13" i="2"/>
  <c r="G13" i="2"/>
  <c r="J13" i="2" s="1"/>
  <c r="AX12" i="2"/>
  <c r="AW12" i="2"/>
  <c r="AV12" i="2"/>
  <c r="AH12" i="2"/>
  <c r="AG12" i="2"/>
  <c r="AF12" i="2"/>
  <c r="J12" i="2"/>
  <c r="G12" i="2"/>
  <c r="AX11" i="2"/>
  <c r="AW11" i="2"/>
  <c r="AV11" i="2"/>
  <c r="AG11" i="2"/>
  <c r="AF11" i="2"/>
  <c r="J11" i="2"/>
  <c r="G11" i="2"/>
  <c r="AU10" i="2"/>
  <c r="AT10" i="2"/>
  <c r="AS10" i="2"/>
  <c r="AR10" i="2"/>
  <c r="AQ10" i="2"/>
  <c r="AP10" i="2"/>
  <c r="AO10" i="2"/>
  <c r="AN10" i="2"/>
  <c r="AM10" i="2"/>
  <c r="AE10" i="2"/>
  <c r="AD10" i="2"/>
  <c r="AC10" i="2"/>
  <c r="AB10" i="2"/>
  <c r="AA10" i="2"/>
  <c r="Z10" i="2"/>
  <c r="Y10" i="2"/>
  <c r="X10" i="2"/>
  <c r="W10" i="2"/>
  <c r="R10" i="2"/>
  <c r="Q10" i="2"/>
  <c r="P10" i="2"/>
  <c r="O10" i="2"/>
  <c r="N10" i="2"/>
  <c r="M10" i="2"/>
  <c r="L10" i="2"/>
  <c r="K10" i="2"/>
  <c r="I10" i="2"/>
  <c r="H10" i="2"/>
  <c r="F10" i="2"/>
  <c r="E10" i="2"/>
  <c r="D10" i="2"/>
  <c r="AX9" i="2"/>
  <c r="AW9" i="2"/>
  <c r="AV9" i="2"/>
  <c r="AH9" i="2"/>
  <c r="AG9" i="2"/>
  <c r="AF9" i="2"/>
  <c r="J9" i="2"/>
  <c r="G9" i="2"/>
  <c r="AX8" i="2"/>
  <c r="AW8" i="2"/>
  <c r="AV8" i="2"/>
  <c r="AG8" i="2"/>
  <c r="AF8" i="2"/>
  <c r="J8" i="2"/>
  <c r="G8" i="2"/>
  <c r="AX7" i="2"/>
  <c r="AW7" i="2"/>
  <c r="AV7" i="2"/>
  <c r="AH7" i="2"/>
  <c r="AG7" i="2"/>
  <c r="AF7" i="2"/>
  <c r="J7" i="2"/>
  <c r="G7" i="2"/>
  <c r="W21" i="1"/>
  <c r="V21" i="1"/>
  <c r="U21" i="1"/>
  <c r="T21" i="1"/>
  <c r="S21" i="1"/>
  <c r="R21" i="1"/>
  <c r="Q21" i="1"/>
  <c r="P21" i="1"/>
  <c r="O21" i="1"/>
  <c r="N21" i="1"/>
  <c r="M21" i="1"/>
  <c r="K21" i="1"/>
  <c r="J21" i="1"/>
  <c r="I21" i="1"/>
  <c r="H21" i="1"/>
  <c r="F21" i="1"/>
  <c r="E21" i="1"/>
  <c r="X20" i="1"/>
  <c r="G20" i="1"/>
  <c r="X19" i="1"/>
  <c r="G19" i="1"/>
  <c r="X18" i="1"/>
  <c r="G18" i="1"/>
  <c r="X17" i="1"/>
  <c r="G17" i="1"/>
  <c r="W16" i="1"/>
  <c r="V16" i="1"/>
  <c r="U16" i="1"/>
  <c r="T16" i="1"/>
  <c r="S16" i="1"/>
  <c r="R16" i="1"/>
  <c r="Q16" i="1"/>
  <c r="P16" i="1"/>
  <c r="O16" i="1"/>
  <c r="N16" i="1"/>
  <c r="M16" i="1"/>
  <c r="K16" i="1"/>
  <c r="J16" i="1"/>
  <c r="I16" i="1"/>
  <c r="H16" i="1"/>
  <c r="F16" i="1"/>
  <c r="E16" i="1"/>
  <c r="X15" i="1"/>
  <c r="G15" i="1"/>
  <c r="X14" i="1"/>
  <c r="L14" i="1"/>
  <c r="G14" i="1"/>
  <c r="X13" i="1"/>
  <c r="L13" i="1"/>
  <c r="X12" i="1"/>
  <c r="L12" i="1"/>
  <c r="G12" i="1"/>
  <c r="W11" i="1"/>
  <c r="V11" i="1"/>
  <c r="U11" i="1"/>
  <c r="T11" i="1"/>
  <c r="S11" i="1"/>
  <c r="R11" i="1"/>
  <c r="Q11" i="1"/>
  <c r="P11" i="1"/>
  <c r="O11" i="1"/>
  <c r="N11" i="1"/>
  <c r="M11" i="1"/>
  <c r="K11" i="1"/>
  <c r="J11" i="1"/>
  <c r="I11" i="1"/>
  <c r="H11" i="1"/>
  <c r="F11" i="1"/>
  <c r="X10" i="1"/>
  <c r="L10" i="1"/>
  <c r="X9" i="1"/>
  <c r="G9" i="1"/>
  <c r="X8" i="1"/>
  <c r="L8" i="1"/>
  <c r="G8" i="1"/>
  <c r="AB19" i="5" l="1"/>
  <c r="CA19" i="4"/>
  <c r="CL19" i="4" s="1"/>
  <c r="L16" i="1"/>
  <c r="L21" i="1"/>
  <c r="AJ18" i="3"/>
  <c r="X18" i="3"/>
  <c r="AJ8" i="3"/>
  <c r="X9" i="3"/>
  <c r="AJ12" i="3"/>
  <c r="AJ14" i="3"/>
  <c r="AE15" i="3"/>
  <c r="AY18" i="2"/>
  <c r="AY17" i="2"/>
  <c r="J20" i="2"/>
  <c r="BA9" i="2"/>
  <c r="AI20" i="3"/>
  <c r="AJ7" i="3"/>
  <c r="AJ9" i="3"/>
  <c r="AC21" i="3"/>
  <c r="X11" i="3"/>
  <c r="X16" i="3"/>
  <c r="X19" i="3"/>
  <c r="BT21" i="4"/>
  <c r="F14" i="5"/>
  <c r="P20" i="4"/>
  <c r="BA18" i="2"/>
  <c r="AN21" i="2"/>
  <c r="AR21" i="2"/>
  <c r="AY19" i="2"/>
  <c r="F19" i="5"/>
  <c r="Y19" i="5"/>
  <c r="N21" i="4"/>
  <c r="S21" i="4"/>
  <c r="BG21" i="4"/>
  <c r="E21" i="4"/>
  <c r="P10" i="4"/>
  <c r="AM16" i="4"/>
  <c r="AQ20" i="4"/>
  <c r="AS20" i="4" s="1"/>
  <c r="AM18" i="4"/>
  <c r="J20" i="4"/>
  <c r="H21" i="4"/>
  <c r="I21" i="4"/>
  <c r="BV21" i="4"/>
  <c r="AY8" i="2"/>
  <c r="AY9" i="2"/>
  <c r="AZ8" i="2"/>
  <c r="AZ9" i="2"/>
  <c r="G15" i="2"/>
  <c r="BA11" i="2"/>
  <c r="BA12" i="2"/>
  <c r="AS21" i="2"/>
  <c r="AZ11" i="2"/>
  <c r="AZ13" i="2"/>
  <c r="BA14" i="2"/>
  <c r="AV20" i="2"/>
  <c r="BA19" i="2"/>
  <c r="AX20" i="2"/>
  <c r="AZ17" i="2"/>
  <c r="AZ18" i="2"/>
  <c r="AL21" i="3"/>
  <c r="AZ16" i="2"/>
  <c r="I21" i="2"/>
  <c r="D21" i="2"/>
  <c r="E21" i="2"/>
  <c r="AT21" i="2"/>
  <c r="L21" i="2"/>
  <c r="AM21" i="2"/>
  <c r="AQ21" i="2"/>
  <c r="AU21" i="2"/>
  <c r="AZ14" i="2"/>
  <c r="W20" i="5"/>
  <c r="I9" i="5"/>
  <c r="X20" i="5"/>
  <c r="AW20" i="5"/>
  <c r="J22" i="1"/>
  <c r="O22" i="1"/>
  <c r="S22" i="1"/>
  <c r="AO21" i="4"/>
  <c r="AY21" i="4"/>
  <c r="F21" i="4"/>
  <c r="K21" i="4"/>
  <c r="Q21" i="4"/>
  <c r="X13" i="3"/>
  <c r="AK21" i="3"/>
  <c r="E21" i="3"/>
  <c r="I21" i="3"/>
  <c r="V21" i="3"/>
  <c r="AG21" i="3"/>
  <c r="BA13" i="2"/>
  <c r="Y14" i="5"/>
  <c r="AB14" i="5"/>
  <c r="AE21" i="4"/>
  <c r="AJ21" i="4"/>
  <c r="G21" i="4"/>
  <c r="L21" i="4"/>
  <c r="BW21" i="4"/>
  <c r="J15" i="4"/>
  <c r="AP21" i="4"/>
  <c r="F21" i="3"/>
  <c r="J21" i="3"/>
  <c r="S21" i="3"/>
  <c r="AJ11" i="3"/>
  <c r="K21" i="3"/>
  <c r="P21" i="3"/>
  <c r="D21" i="3"/>
  <c r="Q21" i="3"/>
  <c r="AI15" i="3"/>
  <c r="AJ15" i="3" s="1"/>
  <c r="AX15" i="2"/>
  <c r="AZ12" i="2"/>
  <c r="O21" i="2"/>
  <c r="AV15" i="2"/>
  <c r="J15" i="2"/>
  <c r="AW15" i="2"/>
  <c r="Z20" i="5"/>
  <c r="AA20" i="5"/>
  <c r="AZ20" i="5"/>
  <c r="AQ15" i="4"/>
  <c r="AS15" i="4" s="1"/>
  <c r="BY21" i="4"/>
  <c r="BA21" i="4"/>
  <c r="BF21" i="4"/>
  <c r="BU21" i="4"/>
  <c r="BZ21" i="4"/>
  <c r="AL21" i="4"/>
  <c r="AX21" i="4"/>
  <c r="BM21" i="4"/>
  <c r="CF21" i="4"/>
  <c r="CA11" i="4"/>
  <c r="CL11" i="4" s="1"/>
  <c r="O21" i="4"/>
  <c r="M22" i="1"/>
  <c r="Q22" i="1"/>
  <c r="N22" i="1"/>
  <c r="R22" i="1"/>
  <c r="U22" i="1"/>
  <c r="AQ10" i="4"/>
  <c r="AS10" i="4" s="1"/>
  <c r="AB9" i="5"/>
  <c r="X21" i="2"/>
  <c r="X8" i="3"/>
  <c r="AE10" i="3"/>
  <c r="AN21" i="3"/>
  <c r="L11" i="1"/>
  <c r="AY7" i="2"/>
  <c r="AX10" i="2"/>
  <c r="M21" i="2"/>
  <c r="AZ7" i="2"/>
  <c r="AV10" i="2"/>
  <c r="AW10" i="2"/>
  <c r="Y21" i="2"/>
  <c r="G10" i="2"/>
  <c r="W10" i="3"/>
  <c r="G21" i="3"/>
  <c r="T21" i="3"/>
  <c r="O21" i="3"/>
  <c r="BH21" i="4"/>
  <c r="BC21" i="4"/>
  <c r="AI10" i="3"/>
  <c r="AG10" i="2"/>
  <c r="AD21" i="2"/>
  <c r="X11" i="1"/>
  <c r="K22" i="1"/>
  <c r="P22" i="1"/>
  <c r="T22" i="1"/>
  <c r="W22" i="1"/>
  <c r="G11" i="1"/>
  <c r="X12" i="3"/>
  <c r="X14" i="3"/>
  <c r="X17" i="3"/>
  <c r="H21" i="3"/>
  <c r="AS7" i="4"/>
  <c r="CA7" i="4" s="1"/>
  <c r="CL7" i="4" s="1"/>
  <c r="AK21" i="4"/>
  <c r="M11" i="4"/>
  <c r="AM11" i="4" s="1"/>
  <c r="AS13" i="4"/>
  <c r="CA13" i="4" s="1"/>
  <c r="AZ21" i="4"/>
  <c r="CG21" i="4"/>
  <c r="AS16" i="4"/>
  <c r="CA16" i="4" s="1"/>
  <c r="CL16" i="4" s="1"/>
  <c r="W20" i="4"/>
  <c r="CJ21" i="4"/>
  <c r="E20" i="5"/>
  <c r="AG15" i="2"/>
  <c r="F21" i="2"/>
  <c r="AO21" i="2"/>
  <c r="M10" i="3"/>
  <c r="AH21" i="3"/>
  <c r="BA7" i="2"/>
  <c r="G20" i="2"/>
  <c r="AP21" i="2"/>
  <c r="F22" i="1"/>
  <c r="X21" i="1"/>
  <c r="I22" i="1"/>
  <c r="BA8" i="2"/>
  <c r="J10" i="2"/>
  <c r="AY12" i="2"/>
  <c r="AY13" i="2"/>
  <c r="N21" i="2"/>
  <c r="M15" i="3"/>
  <c r="U21" i="3"/>
  <c r="N21" i="3"/>
  <c r="AD21" i="3"/>
  <c r="P15" i="4"/>
  <c r="CA18" i="4"/>
  <c r="CL18" i="4" s="1"/>
  <c r="I19" i="5"/>
  <c r="AH17" i="5"/>
  <c r="X16" i="1"/>
  <c r="AY11" i="2"/>
  <c r="BA16" i="2"/>
  <c r="AA21" i="2"/>
  <c r="G16" i="1"/>
  <c r="H22" i="1"/>
  <c r="X7" i="3"/>
  <c r="AJ13" i="3"/>
  <c r="AM21" i="3"/>
  <c r="J10" i="4"/>
  <c r="CA14" i="4"/>
  <c r="CL14" i="4" s="1"/>
  <c r="CD21" i="4"/>
  <c r="O9" i="5"/>
  <c r="AE9" i="5"/>
  <c r="AH8" i="5"/>
  <c r="O19" i="5"/>
  <c r="AH18" i="5"/>
  <c r="AO18" i="5" s="1"/>
  <c r="AR18" i="5" s="1"/>
  <c r="AU18" i="5" s="1"/>
  <c r="AX18" i="5" s="1"/>
  <c r="AE19" i="5"/>
  <c r="AH15" i="5"/>
  <c r="AO15" i="5" s="1"/>
  <c r="AR15" i="5" s="1"/>
  <c r="R19" i="5"/>
  <c r="L19" i="5"/>
  <c r="AH13" i="5"/>
  <c r="AO13" i="5" s="1"/>
  <c r="AR13" i="5" s="1"/>
  <c r="AU13" i="5" s="1"/>
  <c r="AX13" i="5" s="1"/>
  <c r="I14" i="5"/>
  <c r="AT20" i="5"/>
  <c r="AH10" i="5"/>
  <c r="AO10" i="5" s="1"/>
  <c r="L14" i="5"/>
  <c r="AN20" i="5"/>
  <c r="Y9" i="5"/>
  <c r="AV20" i="5"/>
  <c r="AS20" i="5"/>
  <c r="R9" i="5"/>
  <c r="M20" i="5"/>
  <c r="L9" i="5"/>
  <c r="AH6" i="5"/>
  <c r="AO6" i="5" s="1"/>
  <c r="AR6" i="5" s="1"/>
  <c r="AU6" i="5" s="1"/>
  <c r="AX6" i="5" s="1"/>
  <c r="F9" i="5"/>
  <c r="D20" i="5"/>
  <c r="AD21" i="4"/>
  <c r="AM19" i="4"/>
  <c r="CK20" i="4"/>
  <c r="BX20" i="4"/>
  <c r="BO20" i="4"/>
  <c r="BE21" i="4"/>
  <c r="CE21" i="4"/>
  <c r="CA12" i="4"/>
  <c r="CL12" i="4" s="1"/>
  <c r="BO15" i="4"/>
  <c r="BB15" i="4"/>
  <c r="W15" i="4"/>
  <c r="AM12" i="4"/>
  <c r="BX15" i="4"/>
  <c r="BK15" i="4"/>
  <c r="BO10" i="4"/>
  <c r="CA9" i="4"/>
  <c r="CL9" i="4" s="1"/>
  <c r="BI21" i="4"/>
  <c r="AM9" i="4"/>
  <c r="BK10" i="4"/>
  <c r="CA8" i="4"/>
  <c r="CL8" i="4" s="1"/>
  <c r="BB10" i="4"/>
  <c r="AF21" i="4"/>
  <c r="M8" i="4"/>
  <c r="AM8" i="4" s="1"/>
  <c r="CK10" i="4"/>
  <c r="BX10" i="4"/>
  <c r="V21" i="4"/>
  <c r="AM7" i="4"/>
  <c r="W10" i="4"/>
  <c r="W15" i="3"/>
  <c r="R21" i="3"/>
  <c r="AH20" i="2"/>
  <c r="Q21" i="2"/>
  <c r="AE21" i="2"/>
  <c r="AC21" i="2"/>
  <c r="AB21" i="2"/>
  <c r="AF15" i="2"/>
  <c r="W21" i="2"/>
  <c r="P21" i="2"/>
  <c r="AH15" i="2"/>
  <c r="R21" i="2"/>
  <c r="H21" i="2"/>
  <c r="K21" i="2"/>
  <c r="G21" i="1"/>
  <c r="V22" i="1"/>
  <c r="AH11" i="5"/>
  <c r="AE14" i="5"/>
  <c r="R14" i="5"/>
  <c r="Q20" i="5"/>
  <c r="P20" i="5"/>
  <c r="E22" i="1"/>
  <c r="AQ20" i="5"/>
  <c r="AP20" i="5"/>
  <c r="AD20" i="5"/>
  <c r="AG9" i="5"/>
  <c r="AH7" i="5"/>
  <c r="AO7" i="5" s="1"/>
  <c r="J20" i="5"/>
  <c r="AF9" i="5"/>
  <c r="CB21" i="4"/>
  <c r="BL21" i="4"/>
  <c r="BD21" i="4"/>
  <c r="AR21" i="4"/>
  <c r="AI10" i="4"/>
  <c r="T21" i="4"/>
  <c r="R21" i="4"/>
  <c r="D21" i="4"/>
  <c r="AF21" i="3"/>
  <c r="AF10" i="2"/>
  <c r="AH10" i="2"/>
  <c r="Z21" i="2"/>
  <c r="N20" i="5"/>
  <c r="O14" i="5"/>
  <c r="CI21" i="4"/>
  <c r="BJ21" i="4"/>
  <c r="AM14" i="4"/>
  <c r="L21" i="3"/>
  <c r="AY20" i="5"/>
  <c r="AM20" i="5"/>
  <c r="AG14" i="5"/>
  <c r="AC20" i="5"/>
  <c r="K20" i="5"/>
  <c r="AF14" i="5"/>
  <c r="H20" i="5"/>
  <c r="AH12" i="5"/>
  <c r="AO12" i="5" s="1"/>
  <c r="G20" i="5"/>
  <c r="CH21" i="4"/>
  <c r="CK15" i="4"/>
  <c r="CC21" i="4"/>
  <c r="BN21" i="4"/>
  <c r="AH21" i="4"/>
  <c r="AG21" i="4"/>
  <c r="AI15" i="4"/>
  <c r="AC21" i="4"/>
  <c r="AB21" i="4"/>
  <c r="U21" i="4"/>
  <c r="AG20" i="2"/>
  <c r="BA17" i="2"/>
  <c r="AF20" i="2"/>
  <c r="M20" i="3"/>
  <c r="CA17" i="4"/>
  <c r="BK20" i="4"/>
  <c r="AI20" i="4"/>
  <c r="AM17" i="4"/>
  <c r="M20" i="4"/>
  <c r="AF19" i="5"/>
  <c r="AG19" i="5"/>
  <c r="AH16" i="5"/>
  <c r="AO16" i="5" s="1"/>
  <c r="AE20" i="3"/>
  <c r="W20" i="3"/>
  <c r="BA18" i="5" l="1"/>
  <c r="L22" i="1"/>
  <c r="AO17" i="5"/>
  <c r="AR17" i="5" s="1"/>
  <c r="AU17" i="5" s="1"/>
  <c r="AX17" i="5" s="1"/>
  <c r="AO8" i="5"/>
  <c r="AR8" i="5" s="1"/>
  <c r="AU8" i="5" s="1"/>
  <c r="AX8" i="5" s="1"/>
  <c r="AR10" i="5"/>
  <c r="AU10" i="5" s="1"/>
  <c r="AX10" i="5" s="1"/>
  <c r="BA10" i="5" s="1"/>
  <c r="AY20" i="2"/>
  <c r="F20" i="5"/>
  <c r="AJ10" i="3"/>
  <c r="AY10" i="2"/>
  <c r="BA15" i="2"/>
  <c r="P21" i="4"/>
  <c r="I20" i="5"/>
  <c r="AB20" i="5"/>
  <c r="BA20" i="2"/>
  <c r="J21" i="2"/>
  <c r="AZ10" i="2"/>
  <c r="AZ20" i="2"/>
  <c r="AZ15" i="2"/>
  <c r="X15" i="3"/>
  <c r="G21" i="2"/>
  <c r="Y20" i="5"/>
  <c r="J21" i="4"/>
  <c r="AI21" i="3"/>
  <c r="AX21" i="2"/>
  <c r="AY15" i="2"/>
  <c r="AV21" i="2"/>
  <c r="AW21" i="2"/>
  <c r="X22" i="1"/>
  <c r="AQ21" i="4"/>
  <c r="AS21" i="4" s="1"/>
  <c r="BO21" i="4"/>
  <c r="M21" i="3"/>
  <c r="X10" i="3"/>
  <c r="AG21" i="2"/>
  <c r="BB21" i="4"/>
  <c r="BA10" i="2"/>
  <c r="CA20" i="4"/>
  <c r="M15" i="4"/>
  <c r="G22" i="1"/>
  <c r="AO11" i="5"/>
  <c r="AR11" i="5" s="1"/>
  <c r="AU11" i="5" s="1"/>
  <c r="AX11" i="5" s="1"/>
  <c r="BA6" i="5"/>
  <c r="O20" i="5"/>
  <c r="AU15" i="5"/>
  <c r="AX15" i="5" s="1"/>
  <c r="AE20" i="5"/>
  <c r="AH19" i="5"/>
  <c r="BA13" i="5"/>
  <c r="L20" i="5"/>
  <c r="R20" i="5"/>
  <c r="AH9" i="5"/>
  <c r="AM20" i="4"/>
  <c r="W21" i="4"/>
  <c r="BX21" i="4"/>
  <c r="BK21" i="4"/>
  <c r="M10" i="4"/>
  <c r="CL10" i="4"/>
  <c r="CA10" i="4"/>
  <c r="AH21" i="2"/>
  <c r="AF20" i="5"/>
  <c r="AR7" i="5"/>
  <c r="AU7" i="5" s="1"/>
  <c r="AX7" i="5" s="1"/>
  <c r="AG20" i="5"/>
  <c r="AM10" i="4"/>
  <c r="AF21" i="2"/>
  <c r="AH14" i="5"/>
  <c r="AR12" i="5"/>
  <c r="AU12" i="5" s="1"/>
  <c r="AX12" i="5" s="1"/>
  <c r="CK21" i="4"/>
  <c r="CL13" i="4"/>
  <c r="CL15" i="4" s="1"/>
  <c r="CA15" i="4"/>
  <c r="AI21" i="4"/>
  <c r="AM15" i="4"/>
  <c r="CL17" i="4"/>
  <c r="CL20" i="4" s="1"/>
  <c r="AR16" i="5"/>
  <c r="AU16" i="5" s="1"/>
  <c r="AE21" i="3"/>
  <c r="AJ20" i="3"/>
  <c r="W21" i="3"/>
  <c r="X20" i="3"/>
  <c r="AO19" i="5" l="1"/>
  <c r="AR19" i="5" s="1"/>
  <c r="AO9" i="5"/>
  <c r="AR9" i="5" s="1"/>
  <c r="BA17" i="5"/>
  <c r="BA8" i="5"/>
  <c r="AJ21" i="3"/>
  <c r="AY21" i="2"/>
  <c r="BA21" i="2"/>
  <c r="AZ21" i="2"/>
  <c r="BA15" i="5"/>
  <c r="AO14" i="5"/>
  <c r="AR14" i="5" s="1"/>
  <c r="M21" i="4"/>
  <c r="X21" i="3"/>
  <c r="BA11" i="5"/>
  <c r="AU19" i="5"/>
  <c r="AH20" i="5"/>
  <c r="CA21" i="4"/>
  <c r="AU9" i="5"/>
  <c r="AX9" i="5" s="1"/>
  <c r="BA7" i="5"/>
  <c r="AU14" i="5"/>
  <c r="AX14" i="5" s="1"/>
  <c r="BA12" i="5"/>
  <c r="CL21" i="4"/>
  <c r="AM21" i="4"/>
  <c r="AX16" i="5"/>
  <c r="AX19" i="5" l="1"/>
  <c r="AX20" i="5" s="1"/>
  <c r="AO20" i="5"/>
  <c r="AR20" i="5" s="1"/>
  <c r="BA9" i="5"/>
  <c r="AU20" i="5"/>
  <c r="BA14" i="5"/>
  <c r="BA16" i="5"/>
  <c r="BA19" i="5" s="1"/>
  <c r="BA20" i="5" l="1"/>
</calcChain>
</file>

<file path=xl/sharedStrings.xml><?xml version="1.0" encoding="utf-8"?>
<sst xmlns="http://schemas.openxmlformats.org/spreadsheetml/2006/main" count="831" uniqueCount="346">
  <si>
    <t>地</t>
  </si>
  <si>
    <t xml:space="preserve"> </t>
  </si>
  <si>
    <t>合計</t>
  </si>
  <si>
    <t>区</t>
  </si>
  <si>
    <t>気　　仙　　沼</t>
  </si>
  <si>
    <t>気 仙 沼 冷 凍</t>
  </si>
  <si>
    <t>気仙沼センター</t>
  </si>
  <si>
    <t>（気仙沼計）</t>
  </si>
  <si>
    <t>女　　　　　川</t>
  </si>
  <si>
    <t>石</t>
  </si>
  <si>
    <t>渡　　　　　波</t>
  </si>
  <si>
    <t>〃</t>
  </si>
  <si>
    <t>石 巻 市 蒲 鉾</t>
  </si>
  <si>
    <t>（石　巻　計）</t>
  </si>
  <si>
    <t>塩 釜 市 団 地</t>
  </si>
  <si>
    <t>塩 釜 魚 市 場</t>
  </si>
  <si>
    <t xml:space="preserve">  長期共済（組合元受分保有高）</t>
  </si>
  <si>
    <t>計</t>
  </si>
  <si>
    <t>定期積金</t>
  </si>
  <si>
    <t>件数</t>
  </si>
  <si>
    <t>共済金額</t>
  </si>
  <si>
    <t>うち系統分</t>
  </si>
  <si>
    <t xml:space="preserve">   </t>
  </si>
  <si>
    <t>その他</t>
  </si>
  <si>
    <t>合　　計</t>
  </si>
  <si>
    <t>鮮魚類</t>
  </si>
  <si>
    <t>海藻類</t>
  </si>
  <si>
    <t>冷凍品</t>
  </si>
  <si>
    <t xml:space="preserve">     </t>
  </si>
  <si>
    <t xml:space="preserve">  </t>
  </si>
  <si>
    <t>減価償却</t>
  </si>
  <si>
    <t>負債合計</t>
  </si>
  <si>
    <t>特  別</t>
  </si>
  <si>
    <t>手形貸付金</t>
  </si>
  <si>
    <t>証書貸付金</t>
  </si>
  <si>
    <t>当座貸越</t>
  </si>
  <si>
    <t>累 計 額</t>
  </si>
  <si>
    <t>固定資産</t>
  </si>
  <si>
    <t>外部出資</t>
  </si>
  <si>
    <t>資産合計</t>
  </si>
  <si>
    <t>手形借入金</t>
  </si>
  <si>
    <t>証書借入金</t>
  </si>
  <si>
    <t>支払手形</t>
  </si>
  <si>
    <t>出資金</t>
  </si>
  <si>
    <t>当期剰余金</t>
  </si>
  <si>
    <t>事業収益</t>
  </si>
  <si>
    <t>事業直接費</t>
  </si>
  <si>
    <t>事業総利益</t>
  </si>
  <si>
    <t>うち人件費</t>
  </si>
  <si>
    <t>繰延
税金
資産</t>
    <rPh sb="0" eb="2">
      <t>クリノベ</t>
    </rPh>
    <rPh sb="3" eb="5">
      <t>ゼイキン</t>
    </rPh>
    <rPh sb="6" eb="8">
      <t>シサン</t>
    </rPh>
    <phoneticPr fontId="2"/>
  </si>
  <si>
    <t>繰延
資産</t>
    <rPh sb="0" eb="2">
      <t>クリノベ</t>
    </rPh>
    <rPh sb="4" eb="6">
      <t>シサン</t>
    </rPh>
    <phoneticPr fontId="2"/>
  </si>
  <si>
    <t>県     計</t>
    <rPh sb="0" eb="1">
      <t>ケン</t>
    </rPh>
    <rPh sb="6" eb="7">
      <t>ケイ</t>
    </rPh>
    <phoneticPr fontId="1"/>
  </si>
  <si>
    <t>県    計</t>
    <rPh sb="0" eb="1">
      <t>ケン</t>
    </rPh>
    <rPh sb="5" eb="6">
      <t>ケイ</t>
    </rPh>
    <phoneticPr fontId="1"/>
  </si>
  <si>
    <t>地
区</t>
    <rPh sb="0" eb="5">
      <t>チク</t>
    </rPh>
    <phoneticPr fontId="1"/>
  </si>
  <si>
    <t>信　　　  　用　　　  　事　　　  　業　　　  　資　　　  　産</t>
    <phoneticPr fontId="1"/>
  </si>
  <si>
    <t>共 済 事 業 資 産</t>
    <phoneticPr fontId="1"/>
  </si>
  <si>
    <t>固　　　　　定　　　　　資　　　　　産</t>
    <phoneticPr fontId="1"/>
  </si>
  <si>
    <t>信  用  事　業　負　債</t>
    <phoneticPr fontId="1"/>
  </si>
  <si>
    <t>共  　済　  事　  業　  負　  債</t>
    <phoneticPr fontId="1"/>
  </si>
  <si>
    <t>流        　　　　動　　　　        負　　　　        債</t>
    <phoneticPr fontId="1"/>
  </si>
  <si>
    <t>現 金</t>
    <phoneticPr fontId="1"/>
  </si>
  <si>
    <t>有 価
証 券</t>
    <rPh sb="0" eb="3">
      <t>ユウカ</t>
    </rPh>
    <rPh sb="5" eb="8">
      <t>ショウケン</t>
    </rPh>
    <phoneticPr fontId="1"/>
  </si>
  <si>
    <t>共　済
貸付金</t>
    <rPh sb="0" eb="3">
      <t>キョウサイ</t>
    </rPh>
    <rPh sb="5" eb="8">
      <t>カシツケキン</t>
    </rPh>
    <phoneticPr fontId="1"/>
  </si>
  <si>
    <t>その他の
流動資産</t>
    <rPh sb="6" eb="8">
      <t>リュウドウ</t>
    </rPh>
    <rPh sb="8" eb="10">
      <t>シサン</t>
    </rPh>
    <phoneticPr fontId="1"/>
  </si>
  <si>
    <t>借     入     金</t>
    <rPh sb="0" eb="13">
      <t>カリイレキン</t>
    </rPh>
    <phoneticPr fontId="1"/>
  </si>
  <si>
    <t>未 経 過
共    済
付加収入</t>
    <rPh sb="13" eb="15">
      <t>フカ</t>
    </rPh>
    <rPh sb="15" eb="17">
      <t>シュウニュウ</t>
    </rPh>
    <phoneticPr fontId="1"/>
  </si>
  <si>
    <t>経済事業
未 払 金</t>
    <rPh sb="6" eb="11">
      <t>ミバライキン</t>
    </rPh>
    <phoneticPr fontId="1"/>
  </si>
  <si>
    <t>短    期
借 入 金</t>
    <phoneticPr fontId="1"/>
  </si>
  <si>
    <t>経済事業
雑 負 債</t>
    <rPh sb="6" eb="7">
      <t>ザツ</t>
    </rPh>
    <rPh sb="8" eb="11">
      <t>フサイ</t>
    </rPh>
    <phoneticPr fontId="1"/>
  </si>
  <si>
    <t>賦 課 金
仮 受 金</t>
    <rPh sb="7" eb="12">
      <t>カリウケキン</t>
    </rPh>
    <phoneticPr fontId="1"/>
  </si>
  <si>
    <t>その他の
流動負債</t>
    <rPh sb="6" eb="8">
      <t>リュウドウ</t>
    </rPh>
    <rPh sb="8" eb="10">
      <t>フサイ</t>
    </rPh>
    <phoneticPr fontId="1"/>
  </si>
  <si>
    <t>長　期</t>
    <rPh sb="0" eb="3">
      <t>チョウキ</t>
    </rPh>
    <phoneticPr fontId="1"/>
  </si>
  <si>
    <t>受　入</t>
    <rPh sb="0" eb="3">
      <t>ウケイレ</t>
    </rPh>
    <phoneticPr fontId="1"/>
  </si>
  <si>
    <t>再評価</t>
    <rPh sb="0" eb="3">
      <t>サイヒョウカ</t>
    </rPh>
    <phoneticPr fontId="2"/>
  </si>
  <si>
    <t>当期未処分剰余金</t>
    <rPh sb="3" eb="5">
      <t>ショブン</t>
    </rPh>
    <rPh sb="5" eb="8">
      <t>ジョウヨキン</t>
    </rPh>
    <phoneticPr fontId="1"/>
  </si>
  <si>
    <t>小　　計</t>
    <phoneticPr fontId="1"/>
  </si>
  <si>
    <t>仮 勘 定</t>
    <phoneticPr fontId="1"/>
  </si>
  <si>
    <t>小  　計</t>
    <phoneticPr fontId="1"/>
  </si>
  <si>
    <t>差額金</t>
    <rPh sb="0" eb="2">
      <t>サガク</t>
    </rPh>
    <rPh sb="2" eb="3">
      <t>キン</t>
    </rPh>
    <phoneticPr fontId="2"/>
  </si>
  <si>
    <t>気
仙
沼</t>
    <rPh sb="0" eb="7">
      <t>ケセンヌマ</t>
    </rPh>
    <phoneticPr fontId="1"/>
  </si>
  <si>
    <t>気仙沼</t>
    <phoneticPr fontId="1"/>
  </si>
  <si>
    <t>気仙沼冷凍</t>
    <phoneticPr fontId="1"/>
  </si>
  <si>
    <t>気仙沼センター</t>
    <phoneticPr fontId="1"/>
  </si>
  <si>
    <t>石
巻</t>
    <rPh sb="0" eb="8">
      <t>イシノマキ</t>
    </rPh>
    <phoneticPr fontId="1"/>
  </si>
  <si>
    <t>女川</t>
    <phoneticPr fontId="1"/>
  </si>
  <si>
    <t>渡波</t>
    <phoneticPr fontId="1"/>
  </si>
  <si>
    <t>石巻市蒲鉾</t>
    <phoneticPr fontId="1"/>
  </si>
  <si>
    <t>巻</t>
    <rPh sb="0" eb="1">
      <t>マキ</t>
    </rPh>
    <phoneticPr fontId="1"/>
  </si>
  <si>
    <t>（石巻計）</t>
    <phoneticPr fontId="1"/>
  </si>
  <si>
    <t>　県　　　　計　</t>
    <phoneticPr fontId="1"/>
  </si>
  <si>
    <t>　県　　　　  計　</t>
    <phoneticPr fontId="1"/>
  </si>
  <si>
    <t>県      計</t>
    <rPh sb="0" eb="1">
      <t>ケン</t>
    </rPh>
    <rPh sb="7" eb="8">
      <t>ケイ</t>
    </rPh>
    <phoneticPr fontId="1"/>
  </si>
  <si>
    <t>未払
法人税等</t>
    <rPh sb="0" eb="2">
      <t>ミハラ</t>
    </rPh>
    <rPh sb="4" eb="7">
      <t>ホウジンゼイ</t>
    </rPh>
    <rPh sb="7" eb="8">
      <t>トウ</t>
    </rPh>
    <phoneticPr fontId="1"/>
  </si>
  <si>
    <t>諸　　　引　　　当　　　金</t>
    <rPh sb="0" eb="1">
      <t>ショ</t>
    </rPh>
    <rPh sb="4" eb="5">
      <t>イン</t>
    </rPh>
    <rPh sb="8" eb="9">
      <t>トウ</t>
    </rPh>
    <rPh sb="12" eb="13">
      <t>キン</t>
    </rPh>
    <phoneticPr fontId="1"/>
  </si>
  <si>
    <t>その他の
固定負債</t>
    <rPh sb="2" eb="3">
      <t>タ</t>
    </rPh>
    <rPh sb="5" eb="7">
      <t>コテイ</t>
    </rPh>
    <rPh sb="7" eb="9">
      <t>フサイ</t>
    </rPh>
    <phoneticPr fontId="1"/>
  </si>
  <si>
    <t>未収
共済
付加
収入</t>
    <rPh sb="6" eb="8">
      <t>フカ</t>
    </rPh>
    <rPh sb="9" eb="11">
      <t>シュウニュウ</t>
    </rPh>
    <phoneticPr fontId="1"/>
  </si>
  <si>
    <t>組 合 員 数</t>
    <phoneticPr fontId="1"/>
  </si>
  <si>
    <t>役   　 員 　   数</t>
    <phoneticPr fontId="1"/>
  </si>
  <si>
    <t>部    　門   　 別    　職    　員　  　数</t>
    <phoneticPr fontId="1"/>
  </si>
  <si>
    <t>事業年度</t>
    <rPh sb="0" eb="2">
      <t>ジギョウ</t>
    </rPh>
    <rPh sb="2" eb="4">
      <t>ネンド</t>
    </rPh>
    <phoneticPr fontId="1"/>
  </si>
  <si>
    <t>常
勤
理
事</t>
    <rPh sb="0" eb="3">
      <t>ジョウキン</t>
    </rPh>
    <rPh sb="4" eb="7">
      <t>リジ</t>
    </rPh>
    <phoneticPr fontId="1"/>
  </si>
  <si>
    <t>左の
うち
員外
理事</t>
    <rPh sb="6" eb="7">
      <t>イン</t>
    </rPh>
    <rPh sb="7" eb="8">
      <t>インガイ</t>
    </rPh>
    <rPh sb="9" eb="11">
      <t>リジ</t>
    </rPh>
    <phoneticPr fontId="1"/>
  </si>
  <si>
    <t>監
事</t>
    <rPh sb="0" eb="5">
      <t>カンジ</t>
    </rPh>
    <phoneticPr fontId="1"/>
  </si>
  <si>
    <t>参
事</t>
    <rPh sb="0" eb="5">
      <t>サンジ</t>
    </rPh>
    <phoneticPr fontId="1"/>
  </si>
  <si>
    <t>会
計
主
任</t>
    <rPh sb="0" eb="3">
      <t>カイケイ</t>
    </rPh>
    <rPh sb="4" eb="7">
      <t>シュニン</t>
    </rPh>
    <phoneticPr fontId="1"/>
  </si>
  <si>
    <t>信
用</t>
    <rPh sb="0" eb="5">
      <t>シンヨウ</t>
    </rPh>
    <phoneticPr fontId="1"/>
  </si>
  <si>
    <t>共
済</t>
    <rPh sb="0" eb="5">
      <t>キョウサイ</t>
    </rPh>
    <phoneticPr fontId="1"/>
  </si>
  <si>
    <t>購
買</t>
    <rPh sb="0" eb="5">
      <t>コウバイ</t>
    </rPh>
    <phoneticPr fontId="1"/>
  </si>
  <si>
    <t>販
売</t>
    <rPh sb="0" eb="5">
      <t>ハンバイ</t>
    </rPh>
    <phoneticPr fontId="1"/>
  </si>
  <si>
    <t>製
氷
冷
凍
冷
蔵</t>
    <rPh sb="0" eb="3">
      <t>セイヒョウ</t>
    </rPh>
    <rPh sb="4" eb="7">
      <t>レイトウ</t>
    </rPh>
    <rPh sb="8" eb="11">
      <t>レイゾウ</t>
    </rPh>
    <phoneticPr fontId="1"/>
  </si>
  <si>
    <t>加
工
事
業</t>
    <rPh sb="0" eb="3">
      <t>カコウ</t>
    </rPh>
    <rPh sb="4" eb="7">
      <t>ジギョウ</t>
    </rPh>
    <phoneticPr fontId="1"/>
  </si>
  <si>
    <t>指
導
事
業</t>
    <rPh sb="0" eb="3">
      <t>シドウ</t>
    </rPh>
    <rPh sb="4" eb="7">
      <t>ジギョウ</t>
    </rPh>
    <phoneticPr fontId="1"/>
  </si>
  <si>
    <t>そ
の
他
の
事
業</t>
    <rPh sb="0" eb="5">
      <t>ソノタ</t>
    </rPh>
    <rPh sb="8" eb="11">
      <t>ジギョウ</t>
    </rPh>
    <phoneticPr fontId="1"/>
  </si>
  <si>
    <t>管
理</t>
    <rPh sb="0" eb="5">
      <t>カンリ</t>
    </rPh>
    <phoneticPr fontId="1"/>
  </si>
  <si>
    <t>計</t>
    <phoneticPr fontId="1"/>
  </si>
  <si>
    <t>組　 合 　名</t>
    <rPh sb="0" eb="7">
      <t>クミアイメイ</t>
    </rPh>
    <phoneticPr fontId="1"/>
  </si>
  <si>
    <t>4.1～ 3.31</t>
    <phoneticPr fontId="1"/>
  </si>
  <si>
    <t xml:space="preserve"> </t>
    <phoneticPr fontId="1"/>
  </si>
  <si>
    <t>（石　巻　計）</t>
    <phoneticPr fontId="1"/>
  </si>
  <si>
    <t>7.1～ 6.30</t>
    <phoneticPr fontId="1"/>
  </si>
  <si>
    <t>6.1～ 5.31</t>
    <phoneticPr fontId="1"/>
  </si>
  <si>
    <t>貯　　　　　　　　　　　金</t>
    <phoneticPr fontId="1"/>
  </si>
  <si>
    <t>貸   　　出　　   金</t>
    <phoneticPr fontId="1"/>
  </si>
  <si>
    <t>短期共済（組合元受分契約高）</t>
    <rPh sb="0" eb="2">
      <t>タンキ</t>
    </rPh>
    <phoneticPr fontId="1"/>
  </si>
  <si>
    <t xml:space="preserve">買         取         購         買         取         扱         高 </t>
    <rPh sb="0" eb="11">
      <t>カイト</t>
    </rPh>
    <rPh sb="20" eb="31">
      <t>コウバイ</t>
    </rPh>
    <rPh sb="40" eb="61">
      <t>トリアツカイダカ</t>
    </rPh>
    <phoneticPr fontId="1"/>
  </si>
  <si>
    <t xml:space="preserve">受         託         購         買         取         扱         高 </t>
    <rPh sb="0" eb="1">
      <t>ジュカイト</t>
    </rPh>
    <rPh sb="10" eb="11">
      <t>ジュタク</t>
    </rPh>
    <rPh sb="20" eb="31">
      <t>コウバイ</t>
    </rPh>
    <rPh sb="40" eb="61">
      <t>トリアツカイダカ</t>
    </rPh>
    <phoneticPr fontId="1"/>
  </si>
  <si>
    <t>普通厚生共済</t>
    <phoneticPr fontId="1"/>
  </si>
  <si>
    <t>生活総合共済</t>
    <phoneticPr fontId="1"/>
  </si>
  <si>
    <t>乗組員厚生共済</t>
    <rPh sb="3" eb="5">
      <t>コウセイ</t>
    </rPh>
    <rPh sb="5" eb="7">
      <t>キョウサイ</t>
    </rPh>
    <phoneticPr fontId="1"/>
  </si>
  <si>
    <t>火  災  共  済</t>
    <phoneticPr fontId="1"/>
  </si>
  <si>
    <t>石      油      類</t>
    <rPh sb="0" eb="8">
      <t>セキユ</t>
    </rPh>
    <rPh sb="14" eb="15">
      <t>ルイ</t>
    </rPh>
    <phoneticPr fontId="1"/>
  </si>
  <si>
    <t>資      材      類</t>
    <rPh sb="0" eb="8">
      <t>シザイ</t>
    </rPh>
    <rPh sb="14" eb="15">
      <t>ルイ</t>
    </rPh>
    <phoneticPr fontId="1"/>
  </si>
  <si>
    <t>計</t>
    <phoneticPr fontId="1"/>
  </si>
  <si>
    <t>資        材        類</t>
    <rPh sb="0" eb="10">
      <t>シザイ</t>
    </rPh>
    <rPh sb="18" eb="19">
      <t>ルイ</t>
    </rPh>
    <phoneticPr fontId="1"/>
  </si>
  <si>
    <t>当 座 性</t>
    <phoneticPr fontId="1"/>
  </si>
  <si>
    <t>定 期 性</t>
    <phoneticPr fontId="1"/>
  </si>
  <si>
    <t>短　  期</t>
    <phoneticPr fontId="1"/>
  </si>
  <si>
    <t>長　  期</t>
    <phoneticPr fontId="1"/>
  </si>
  <si>
    <t>受　入　高</t>
    <phoneticPr fontId="1"/>
  </si>
  <si>
    <t>供　給　高</t>
    <phoneticPr fontId="1"/>
  </si>
  <si>
    <t>県         計</t>
    <rPh sb="0" eb="1">
      <t>ケン</t>
    </rPh>
    <rPh sb="10" eb="11">
      <t>ケイ</t>
    </rPh>
    <phoneticPr fontId="1"/>
  </si>
  <si>
    <t>　県　　　　     計　</t>
    <phoneticPr fontId="1"/>
  </si>
  <si>
    <t>　県　　　　    計　</t>
    <phoneticPr fontId="1"/>
  </si>
  <si>
    <t>受      託      販      売      取      扱      高</t>
    <rPh sb="0" eb="8">
      <t>ジュタク</t>
    </rPh>
    <rPh sb="14" eb="22">
      <t>ハンバイ</t>
    </rPh>
    <rPh sb="28" eb="36">
      <t>トリアツカイ</t>
    </rPh>
    <rPh sb="42" eb="43">
      <t>タカ</t>
    </rPh>
    <phoneticPr fontId="1"/>
  </si>
  <si>
    <t>買      取      販      売      取      扱      高</t>
    <rPh sb="0" eb="1">
      <t>カイトジュタク</t>
    </rPh>
    <rPh sb="7" eb="8">
      <t>ト</t>
    </rPh>
    <rPh sb="14" eb="22">
      <t>ハンバイ</t>
    </rPh>
    <rPh sb="28" eb="36">
      <t>トリアツカイ</t>
    </rPh>
    <rPh sb="42" eb="43">
      <t>タカ</t>
    </rPh>
    <phoneticPr fontId="1"/>
  </si>
  <si>
    <t>冷  凍  品  販  売  高</t>
    <phoneticPr fontId="1"/>
  </si>
  <si>
    <t>受託加工取扱高</t>
    <rPh sb="4" eb="7">
      <t>トリアツカイダカ</t>
    </rPh>
    <phoneticPr fontId="1"/>
  </si>
  <si>
    <t>生 鮮 魚 貝 藻 類</t>
    <phoneticPr fontId="1"/>
  </si>
  <si>
    <t>水産製品・加工品</t>
    <phoneticPr fontId="1"/>
  </si>
  <si>
    <t>そ　の　他</t>
    <phoneticPr fontId="1"/>
  </si>
  <si>
    <t>餌  　　料</t>
    <phoneticPr fontId="1"/>
  </si>
  <si>
    <t>合　　　計</t>
    <phoneticPr fontId="1"/>
  </si>
  <si>
    <t>金　   額</t>
    <phoneticPr fontId="1"/>
  </si>
  <si>
    <t>貝 類</t>
    <phoneticPr fontId="1"/>
  </si>
  <si>
    <t>貝類</t>
    <phoneticPr fontId="1"/>
  </si>
  <si>
    <t>(凍結及び保管料）</t>
    <rPh sb="5" eb="8">
      <t>ホカンリョウ</t>
    </rPh>
    <phoneticPr fontId="1"/>
  </si>
  <si>
    <t>県        計</t>
    <rPh sb="0" eb="1">
      <t>ケン</t>
    </rPh>
    <rPh sb="9" eb="10">
      <t>ケイ</t>
    </rPh>
    <phoneticPr fontId="1"/>
  </si>
  <si>
    <t>固　  定　  負　  債</t>
    <phoneticPr fontId="1"/>
  </si>
  <si>
    <t>土  地</t>
    <phoneticPr fontId="1"/>
  </si>
  <si>
    <t>建　　設</t>
    <phoneticPr fontId="1"/>
  </si>
  <si>
    <t>無　　形</t>
    <phoneticPr fontId="1"/>
  </si>
  <si>
    <t>その他の</t>
    <phoneticPr fontId="1"/>
  </si>
  <si>
    <t>回  転</t>
    <phoneticPr fontId="1"/>
  </si>
  <si>
    <t>保証金</t>
    <phoneticPr fontId="1"/>
  </si>
  <si>
    <t>組    合    名</t>
    <phoneticPr fontId="1"/>
  </si>
  <si>
    <t>賞   与
引 当 金</t>
    <rPh sb="0" eb="1">
      <t>ショウ</t>
    </rPh>
    <rPh sb="4" eb="5">
      <t>クミ</t>
    </rPh>
    <rPh sb="7" eb="8">
      <t>イン</t>
    </rPh>
    <rPh sb="9" eb="10">
      <t>トウ</t>
    </rPh>
    <phoneticPr fontId="1"/>
  </si>
  <si>
    <t xml:space="preserve">  （１）組織状況</t>
    <phoneticPr fontId="1"/>
  </si>
  <si>
    <t xml:space="preserve">  （２）事業状況</t>
    <phoneticPr fontId="1"/>
  </si>
  <si>
    <t xml:space="preserve">  （３）財務状況</t>
    <phoneticPr fontId="1"/>
  </si>
  <si>
    <t>法 人 税
住 民 税
及    び
事 業 税</t>
    <rPh sb="6" eb="9">
      <t>ジュウミン</t>
    </rPh>
    <rPh sb="10" eb="11">
      <t>ジュウミンゼイ</t>
    </rPh>
    <rPh sb="12" eb="13">
      <t>オヨ</t>
    </rPh>
    <rPh sb="19" eb="22">
      <t>ジギョウ</t>
    </rPh>
    <rPh sb="23" eb="24">
      <t>ゼイ</t>
    </rPh>
    <phoneticPr fontId="2"/>
  </si>
  <si>
    <t>特   別
修   繕
引当金</t>
    <rPh sb="12" eb="14">
      <t>ヒキアテ</t>
    </rPh>
    <rPh sb="14" eb="15">
      <t>キン</t>
    </rPh>
    <phoneticPr fontId="1"/>
  </si>
  <si>
    <t>遭   難
救   助
引当金</t>
    <rPh sb="12" eb="14">
      <t>ヒキアテ</t>
    </rPh>
    <rPh sb="14" eb="15">
      <t>キン</t>
    </rPh>
    <phoneticPr fontId="1"/>
  </si>
  <si>
    <t>その他の
共済事業
負　  　債</t>
    <rPh sb="5" eb="7">
      <t>キョウサイ</t>
    </rPh>
    <rPh sb="7" eb="9">
      <t>ジギョウ</t>
    </rPh>
    <rPh sb="10" eb="11">
      <t>フ</t>
    </rPh>
    <rPh sb="15" eb="16">
      <t>サイ</t>
    </rPh>
    <phoneticPr fontId="1"/>
  </si>
  <si>
    <t>貸    倒
引当金</t>
    <rPh sb="0" eb="1">
      <t>カシ</t>
    </rPh>
    <rPh sb="5" eb="6">
      <t>ダオシ</t>
    </rPh>
    <rPh sb="8" eb="11">
      <t>ヒキアテキン</t>
    </rPh>
    <phoneticPr fontId="1"/>
  </si>
  <si>
    <t>法定準備金</t>
    <rPh sb="0" eb="2">
      <t>ホウテイ</t>
    </rPh>
    <rPh sb="2" eb="5">
      <t>ジュンビキン</t>
    </rPh>
    <phoneticPr fontId="1"/>
  </si>
  <si>
    <t>資　本　　準備金</t>
    <rPh sb="0" eb="1">
      <t>シ</t>
    </rPh>
    <rPh sb="2" eb="3">
      <t>ホン</t>
    </rPh>
    <rPh sb="5" eb="8">
      <t>ジュンビキン</t>
    </rPh>
    <phoneticPr fontId="1"/>
  </si>
  <si>
    <t>利　益　　準備金</t>
    <rPh sb="0" eb="1">
      <t>リ</t>
    </rPh>
    <rPh sb="2" eb="3">
      <t>エキ</t>
    </rPh>
    <rPh sb="5" eb="8">
      <t>ジュンビキン</t>
    </rPh>
    <phoneticPr fontId="1"/>
  </si>
  <si>
    <t>仙
台</t>
    <rPh sb="0" eb="1">
      <t>ヤマト</t>
    </rPh>
    <rPh sb="8" eb="9">
      <t>ダイ</t>
    </rPh>
    <phoneticPr fontId="1"/>
  </si>
  <si>
    <t>(仙台計）</t>
    <rPh sb="1" eb="3">
      <t>センダイ</t>
    </rPh>
    <phoneticPr fontId="1"/>
  </si>
  <si>
    <t>(仙台計）</t>
    <rPh sb="1" eb="3">
      <t>センダイ</t>
    </rPh>
    <rPh sb="3" eb="4">
      <t>ケイ</t>
    </rPh>
    <phoneticPr fontId="1"/>
  </si>
  <si>
    <t>S44. 2.21</t>
    <phoneticPr fontId="1"/>
  </si>
  <si>
    <t>S24. 8.24</t>
    <phoneticPr fontId="1"/>
  </si>
  <si>
    <t>S34. 8.24</t>
    <phoneticPr fontId="1"/>
  </si>
  <si>
    <t>S24. 7.22</t>
    <phoneticPr fontId="1"/>
  </si>
  <si>
    <t>S24. 7.12</t>
    <phoneticPr fontId="1"/>
  </si>
  <si>
    <t>S43. 2. 1</t>
    <phoneticPr fontId="1"/>
  </si>
  <si>
    <t>S52. 1.29</t>
    <phoneticPr fontId="1"/>
  </si>
  <si>
    <t>　県　　　　 計　</t>
    <phoneticPr fontId="1"/>
  </si>
  <si>
    <t>② 共済事業</t>
    <phoneticPr fontId="1"/>
  </si>
  <si>
    <t>組    合    名</t>
    <phoneticPr fontId="1"/>
  </si>
  <si>
    <t>組    合    名</t>
    <phoneticPr fontId="1"/>
  </si>
  <si>
    <t>合  　　　　計</t>
    <phoneticPr fontId="1"/>
  </si>
  <si>
    <t>組    合    名</t>
    <phoneticPr fontId="1"/>
  </si>
  <si>
    <t>受  入  高</t>
    <phoneticPr fontId="1"/>
  </si>
  <si>
    <t>供  給  高</t>
    <phoneticPr fontId="1"/>
  </si>
  <si>
    <t>　県　　　　     計　</t>
    <phoneticPr fontId="1"/>
  </si>
  <si>
    <t>⑥ 加工事業</t>
    <rPh sb="2" eb="4">
      <t>カコウ</t>
    </rPh>
    <rPh sb="4" eb="6">
      <t>ジギョウ</t>
    </rPh>
    <phoneticPr fontId="1"/>
  </si>
  <si>
    <t>組   合   名</t>
    <phoneticPr fontId="1"/>
  </si>
  <si>
    <t>組   合   名</t>
    <phoneticPr fontId="1"/>
  </si>
  <si>
    <t>塩釜地区</t>
    <phoneticPr fontId="1"/>
  </si>
  <si>
    <t>塩釜市団地</t>
    <phoneticPr fontId="1"/>
  </si>
  <si>
    <t>塩釜魚市場</t>
    <phoneticPr fontId="1"/>
  </si>
  <si>
    <t>　県　　　　  計　</t>
    <phoneticPr fontId="1"/>
  </si>
  <si>
    <t>組合名</t>
    <phoneticPr fontId="1"/>
  </si>
  <si>
    <t>組   合   名</t>
    <phoneticPr fontId="1"/>
  </si>
  <si>
    <t>組    合    名</t>
    <phoneticPr fontId="1"/>
  </si>
  <si>
    <t>信　　用    事    業</t>
    <phoneticPr fontId="1"/>
  </si>
  <si>
    <t>共　　済　　事　　業</t>
    <phoneticPr fontId="1"/>
  </si>
  <si>
    <t>購　　買　　事　　業</t>
    <phoneticPr fontId="1"/>
  </si>
  <si>
    <t>販    売　　事　　業</t>
    <phoneticPr fontId="1"/>
  </si>
  <si>
    <t>製  氷  冷  凍  事  業</t>
    <phoneticPr fontId="1"/>
  </si>
  <si>
    <t>加   工   事   業</t>
    <phoneticPr fontId="1"/>
  </si>
  <si>
    <t>漁　　業    自    営</t>
    <phoneticPr fontId="1"/>
  </si>
  <si>
    <t>そ　 の 　他　の 　事 　業</t>
    <phoneticPr fontId="1"/>
  </si>
  <si>
    <t>事　　業    別    合    計</t>
    <phoneticPr fontId="1"/>
  </si>
  <si>
    <t>事 業 管 理 費</t>
    <phoneticPr fontId="1"/>
  </si>
  <si>
    <t>　県　　　　    計　</t>
    <phoneticPr fontId="1"/>
  </si>
  <si>
    <t>流　　　　　　　動　　　　　　資　　　　　　産</t>
    <rPh sb="0" eb="1">
      <t>リュウ</t>
    </rPh>
    <rPh sb="8" eb="9">
      <t>ドウ</t>
    </rPh>
    <rPh sb="15" eb="16">
      <t>シ</t>
    </rPh>
    <rPh sb="22" eb="23">
      <t>サン</t>
    </rPh>
    <phoneticPr fontId="1"/>
  </si>
  <si>
    <t>気仙沼
センター</t>
    <phoneticPr fontId="1"/>
  </si>
  <si>
    <t>個
人</t>
    <rPh sb="0" eb="1">
      <t>コ</t>
    </rPh>
    <rPh sb="3" eb="4">
      <t>ニン</t>
    </rPh>
    <phoneticPr fontId="1"/>
  </si>
  <si>
    <t>法
人</t>
    <rPh sb="0" eb="1">
      <t>ホウジン</t>
    </rPh>
    <rPh sb="3" eb="4">
      <t>ニン</t>
    </rPh>
    <phoneticPr fontId="1"/>
  </si>
  <si>
    <t>合
計</t>
    <phoneticPr fontId="1"/>
  </si>
  <si>
    <t>設立
登記
年 月 日</t>
    <rPh sb="4" eb="6">
      <t>トウキ</t>
    </rPh>
    <rPh sb="8" eb="13">
      <t>ネンガッピ</t>
    </rPh>
    <phoneticPr fontId="1"/>
  </si>
  <si>
    <t>非
常
勤
理
事</t>
    <rPh sb="0" eb="1">
      <t>ヒ</t>
    </rPh>
    <rPh sb="2" eb="3">
      <t>ツネ</t>
    </rPh>
    <rPh sb="4" eb="5">
      <t>ツトム</t>
    </rPh>
    <rPh sb="6" eb="7">
      <t>リ</t>
    </rPh>
    <rPh sb="8" eb="9">
      <t>コト</t>
    </rPh>
    <phoneticPr fontId="1"/>
  </si>
  <si>
    <t>受入高</t>
    <phoneticPr fontId="1"/>
  </si>
  <si>
    <t>供給高</t>
    <phoneticPr fontId="1"/>
  </si>
  <si>
    <t>塩干
魚貝類</t>
    <phoneticPr fontId="2"/>
  </si>
  <si>
    <t>受取
手形</t>
    <rPh sb="0" eb="2">
      <t>ウケトリ</t>
    </rPh>
    <rPh sb="4" eb="6">
      <t>テガタ</t>
    </rPh>
    <phoneticPr fontId="1"/>
  </si>
  <si>
    <t>経常利益
又は損益</t>
    <rPh sb="6" eb="7">
      <t>マタ</t>
    </rPh>
    <rPh sb="8" eb="10">
      <t>ソンエキ</t>
    </rPh>
    <phoneticPr fontId="1"/>
  </si>
  <si>
    <t>税 引 前
当期利益</t>
    <rPh sb="7" eb="9">
      <t>トウキ</t>
    </rPh>
    <rPh sb="9" eb="11">
      <t>リエキ</t>
    </rPh>
    <phoneticPr fontId="1"/>
  </si>
  <si>
    <t>法人税等
調 整 額</t>
    <rPh sb="0" eb="3">
      <t>ホウジンゼイ</t>
    </rPh>
    <rPh sb="3" eb="4">
      <t>トウ</t>
    </rPh>
    <rPh sb="6" eb="9">
      <t>チョウセイ</t>
    </rPh>
    <rPh sb="10" eb="11">
      <t>ガク</t>
    </rPh>
    <phoneticPr fontId="1"/>
  </si>
  <si>
    <t>前期繰越
剰 余 金</t>
    <rPh sb="0" eb="2">
      <t>ゼンキ</t>
    </rPh>
    <rPh sb="2" eb="4">
      <t>クリコシ</t>
    </rPh>
    <rPh sb="6" eb="9">
      <t>ジョウヨ</t>
    </rPh>
    <rPh sb="10" eb="11">
      <t>キン</t>
    </rPh>
    <phoneticPr fontId="2"/>
  </si>
  <si>
    <t>目    的
積立金
目    的
取崩額</t>
    <rPh sb="0" eb="1">
      <t>メ</t>
    </rPh>
    <rPh sb="5" eb="6">
      <t>マト</t>
    </rPh>
    <rPh sb="7" eb="10">
      <t>ツミタテキン</t>
    </rPh>
    <rPh sb="11" eb="12">
      <t>メ</t>
    </rPh>
    <rPh sb="16" eb="17">
      <t>マト</t>
    </rPh>
    <rPh sb="18" eb="20">
      <t>トリクズ</t>
    </rPh>
    <rPh sb="20" eb="21">
      <t>ガク</t>
    </rPh>
    <phoneticPr fontId="2"/>
  </si>
  <si>
    <t>当期
末処分
剰余金</t>
    <rPh sb="0" eb="2">
      <t>トウキ</t>
    </rPh>
    <rPh sb="3" eb="4">
      <t>マツ</t>
    </rPh>
    <rPh sb="4" eb="6">
      <t>ショブン</t>
    </rPh>
    <rPh sb="7" eb="10">
      <t>ジョウヨキン</t>
    </rPh>
    <phoneticPr fontId="2"/>
  </si>
  <si>
    <t>数　　 量
t</t>
    <phoneticPr fontId="1"/>
  </si>
  <si>
    <t>数　   量
t</t>
    <phoneticPr fontId="1"/>
  </si>
  <si>
    <t>純　　資　　産</t>
    <rPh sb="0" eb="1">
      <t>ジュン</t>
    </rPh>
    <rPh sb="3" eb="4">
      <t>シ</t>
    </rPh>
    <rPh sb="6" eb="7">
      <t>サン</t>
    </rPh>
    <phoneticPr fontId="1"/>
  </si>
  <si>
    <t>再評価に係る繰延税金負債</t>
    <rPh sb="0" eb="1">
      <t>サイ</t>
    </rPh>
    <rPh sb="1" eb="3">
      <t>ヒョウカ</t>
    </rPh>
    <rPh sb="4" eb="5">
      <t>カカ</t>
    </rPh>
    <rPh sb="6" eb="8">
      <t>クリノベ</t>
    </rPh>
    <rPh sb="8" eb="10">
      <t>ゼイキン</t>
    </rPh>
    <rPh sb="10" eb="12">
      <t>フサイ</t>
    </rPh>
    <phoneticPr fontId="2"/>
  </si>
  <si>
    <t>繰延税金負債</t>
    <rPh sb="0" eb="2">
      <t>クリノベ</t>
    </rPh>
    <rPh sb="2" eb="4">
      <t>ゼイキン</t>
    </rPh>
    <rPh sb="4" eb="6">
      <t>フサイ</t>
    </rPh>
    <phoneticPr fontId="2"/>
  </si>
  <si>
    <t>塩干
魚貝類</t>
    <phoneticPr fontId="2"/>
  </si>
  <si>
    <t>その他の信用事業資産</t>
    <rPh sb="2" eb="3">
      <t>タ</t>
    </rPh>
    <rPh sb="4" eb="6">
      <t>シンヨウ</t>
    </rPh>
    <rPh sb="6" eb="8">
      <t>ジギョウ</t>
    </rPh>
    <rPh sb="8" eb="9">
      <t>シ</t>
    </rPh>
    <rPh sb="9" eb="10">
      <t>サン</t>
    </rPh>
    <phoneticPr fontId="1"/>
  </si>
  <si>
    <t>再評価に係る繰延税金資産</t>
    <rPh sb="0" eb="1">
      <t>サイ</t>
    </rPh>
    <rPh sb="1" eb="2">
      <t>ヒョウ</t>
    </rPh>
    <rPh sb="4" eb="5">
      <t>カカ</t>
    </rPh>
    <rPh sb="6" eb="8">
      <t>クリノベ</t>
    </rPh>
    <rPh sb="8" eb="10">
      <t>ゼイキン</t>
    </rPh>
    <rPh sb="10" eb="12">
      <t>シサン</t>
    </rPh>
    <phoneticPr fontId="2"/>
  </si>
  <si>
    <t>その他の信用事業負債</t>
    <rPh sb="4" eb="6">
      <t>シンヨウ</t>
    </rPh>
    <rPh sb="6" eb="8">
      <t>ジギョウ</t>
    </rPh>
    <rPh sb="8" eb="10">
      <t>フサイ</t>
    </rPh>
    <phoneticPr fontId="1"/>
  </si>
  <si>
    <t>（単位：千円）</t>
    <rPh sb="1" eb="3">
      <t>タンイ</t>
    </rPh>
    <rPh sb="4" eb="6">
      <t>センエン</t>
    </rPh>
    <phoneticPr fontId="1"/>
  </si>
  <si>
    <t>（単位：千円）</t>
    <phoneticPr fontId="1"/>
  </si>
  <si>
    <t>気 仙 沼 冷 凍</t>
    <phoneticPr fontId="1"/>
  </si>
  <si>
    <t>S44. 7.21</t>
    <phoneticPr fontId="1"/>
  </si>
  <si>
    <t>気仙沼</t>
    <phoneticPr fontId="1"/>
  </si>
  <si>
    <t>（石巻計）</t>
    <phoneticPr fontId="1"/>
  </si>
  <si>
    <t>気仙沼
センター</t>
    <phoneticPr fontId="1"/>
  </si>
  <si>
    <t>S50. 9.18</t>
    <phoneticPr fontId="1"/>
  </si>
  <si>
    <t>S24.10. 3</t>
    <phoneticPr fontId="1"/>
  </si>
  <si>
    <t>S34. 6.18</t>
    <phoneticPr fontId="1"/>
  </si>
  <si>
    <t>4.1～ 3.31</t>
    <phoneticPr fontId="1"/>
  </si>
  <si>
    <t>4.1～ 3.31</t>
    <phoneticPr fontId="1"/>
  </si>
  <si>
    <t>塩釜地区</t>
    <phoneticPr fontId="1"/>
  </si>
  <si>
    <t>塩釜地区</t>
    <phoneticPr fontId="1"/>
  </si>
  <si>
    <t>塩釜</t>
    <phoneticPr fontId="1"/>
  </si>
  <si>
    <t>塩釜</t>
    <phoneticPr fontId="1"/>
  </si>
  <si>
    <t>塩釜</t>
    <phoneticPr fontId="1"/>
  </si>
  <si>
    <t>石巻市</t>
    <phoneticPr fontId="1"/>
  </si>
  <si>
    <t>石巻市</t>
    <phoneticPr fontId="1"/>
  </si>
  <si>
    <t>石巻市</t>
    <phoneticPr fontId="1"/>
  </si>
  <si>
    <t>塩釜地区</t>
    <phoneticPr fontId="1"/>
  </si>
  <si>
    <t>1.1～ 12.31</t>
    <phoneticPr fontId="1"/>
  </si>
  <si>
    <t>事　  業
外費用</t>
    <phoneticPr fontId="1"/>
  </si>
  <si>
    <t>事　  業
外収益</t>
    <rPh sb="8" eb="9">
      <t>オサム</t>
    </rPh>
    <rPh sb="9" eb="10">
      <t>エキ</t>
    </rPh>
    <phoneticPr fontId="1"/>
  </si>
  <si>
    <t>事 業
利 益</t>
    <phoneticPr fontId="1"/>
  </si>
  <si>
    <t>特 別
利 益</t>
    <phoneticPr fontId="1"/>
  </si>
  <si>
    <t>特 別
損 失</t>
    <phoneticPr fontId="1"/>
  </si>
  <si>
    <t>当　  期
剰余金</t>
    <phoneticPr fontId="1"/>
  </si>
  <si>
    <t>組 合 名</t>
    <phoneticPr fontId="1"/>
  </si>
  <si>
    <t>組 合 名</t>
    <phoneticPr fontId="1"/>
  </si>
  <si>
    <t>負債及び
純資産
合計</t>
    <rPh sb="6" eb="7">
      <t>ジュン</t>
    </rPh>
    <rPh sb="7" eb="9">
      <t>シサン</t>
    </rPh>
    <rPh sb="11" eb="13">
      <t>ゴウケイ</t>
    </rPh>
    <phoneticPr fontId="1"/>
  </si>
  <si>
    <t>気　仙　沼</t>
    <phoneticPr fontId="1"/>
  </si>
  <si>
    <t>気仙沼冷凍</t>
    <phoneticPr fontId="1"/>
  </si>
  <si>
    <t>石巻市蒲鉾</t>
    <phoneticPr fontId="1"/>
  </si>
  <si>
    <t>塩釜地区</t>
    <phoneticPr fontId="1"/>
  </si>
  <si>
    <t>塩釜市団地</t>
    <phoneticPr fontId="1"/>
  </si>
  <si>
    <t>塩釜魚市場</t>
    <phoneticPr fontId="1"/>
  </si>
  <si>
    <t>冷凍・冷蔵</t>
    <phoneticPr fontId="1"/>
  </si>
  <si>
    <t>その他の引当金等</t>
    <rPh sb="2" eb="3">
      <t>タ</t>
    </rPh>
    <rPh sb="4" eb="7">
      <t>ヒキアテキン</t>
    </rPh>
    <rPh sb="7" eb="8">
      <t>トウ</t>
    </rPh>
    <phoneticPr fontId="1"/>
  </si>
  <si>
    <t xml:space="preserve">               ① 信用事業</t>
    <phoneticPr fontId="1"/>
  </si>
  <si>
    <t xml:space="preserve">             ③ 購買事業</t>
    <phoneticPr fontId="1"/>
  </si>
  <si>
    <t xml:space="preserve">             ③ 購買事業(つづき)</t>
    <phoneticPr fontId="1"/>
  </si>
  <si>
    <t xml:space="preserve">          ④ 販売事業</t>
    <phoneticPr fontId="1"/>
  </si>
  <si>
    <t xml:space="preserve">          ⑤ 製氷・冷凍・冷蔵</t>
    <phoneticPr fontId="1"/>
  </si>
  <si>
    <t xml:space="preserve">              ① 貸借対照表</t>
    <phoneticPr fontId="1"/>
  </si>
  <si>
    <t xml:space="preserve">          ① 貸借対照表（つづき）</t>
    <phoneticPr fontId="1"/>
  </si>
  <si>
    <t xml:space="preserve">          ① 貸借対照表（つづき）</t>
    <phoneticPr fontId="1"/>
  </si>
  <si>
    <t xml:space="preserve">             ② 損益計算書</t>
    <phoneticPr fontId="1"/>
  </si>
  <si>
    <t xml:space="preserve">           ② 損益計算書（つづき）</t>
    <phoneticPr fontId="1"/>
  </si>
  <si>
    <t>気　仙　沼</t>
    <phoneticPr fontId="1"/>
  </si>
  <si>
    <t>- 58 -</t>
    <phoneticPr fontId="1"/>
  </si>
  <si>
    <t>- 59 -</t>
    <phoneticPr fontId="1"/>
  </si>
  <si>
    <t>- 61 -</t>
    <phoneticPr fontId="1"/>
  </si>
  <si>
    <t>- 64 -</t>
    <phoneticPr fontId="1"/>
  </si>
  <si>
    <t>受　入　高</t>
    <phoneticPr fontId="1"/>
  </si>
  <si>
    <t>食  　　用</t>
    <phoneticPr fontId="1"/>
  </si>
  <si>
    <t>預け金</t>
    <phoneticPr fontId="1"/>
  </si>
  <si>
    <t>石巻市</t>
    <phoneticPr fontId="1"/>
  </si>
  <si>
    <t>塩釜地区</t>
    <phoneticPr fontId="1"/>
  </si>
  <si>
    <t>気仙沼冷凍</t>
    <phoneticPr fontId="1"/>
  </si>
  <si>
    <t>加　工　販　売　高</t>
    <phoneticPr fontId="1"/>
  </si>
  <si>
    <t xml:space="preserve"> </t>
    <phoneticPr fontId="1"/>
  </si>
  <si>
    <t>積立金</t>
    <phoneticPr fontId="1"/>
  </si>
  <si>
    <t>償却資産</t>
    <phoneticPr fontId="1"/>
  </si>
  <si>
    <t>減    価</t>
    <phoneticPr fontId="1"/>
  </si>
  <si>
    <t>借入金</t>
    <phoneticPr fontId="1"/>
  </si>
  <si>
    <t>共  済
借入金</t>
    <phoneticPr fontId="1"/>
  </si>
  <si>
    <t>供　給　高</t>
    <phoneticPr fontId="1"/>
  </si>
  <si>
    <t>共済資金</t>
    <phoneticPr fontId="1"/>
  </si>
  <si>
    <t>棚卸
資産</t>
    <phoneticPr fontId="1"/>
  </si>
  <si>
    <t>計</t>
    <phoneticPr fontId="1"/>
  </si>
  <si>
    <t>自家製造分</t>
    <phoneticPr fontId="1"/>
  </si>
  <si>
    <t>固定資産</t>
    <phoneticPr fontId="1"/>
  </si>
  <si>
    <t>貸    　　出     　金</t>
    <phoneticPr fontId="1"/>
  </si>
  <si>
    <t>計</t>
    <phoneticPr fontId="1"/>
  </si>
  <si>
    <t>加　　工　　原　　料</t>
    <rPh sb="0" eb="1">
      <t>カ</t>
    </rPh>
    <rPh sb="3" eb="4">
      <t>コウ</t>
    </rPh>
    <rPh sb="6" eb="7">
      <t>ハラ</t>
    </rPh>
    <rPh sb="9" eb="10">
      <t>リョウ</t>
    </rPh>
    <phoneticPr fontId="1"/>
  </si>
  <si>
    <t>- 55 -</t>
    <phoneticPr fontId="1"/>
  </si>
  <si>
    <t>- 56 -</t>
    <phoneticPr fontId="1"/>
  </si>
  <si>
    <t>- 57 -</t>
    <phoneticPr fontId="1"/>
  </si>
  <si>
    <t>- 60 -</t>
    <phoneticPr fontId="1"/>
  </si>
  <si>
    <t>- 62 -</t>
    <phoneticPr fontId="1"/>
  </si>
  <si>
    <t>- 63 -</t>
    <phoneticPr fontId="1"/>
  </si>
  <si>
    <t>- 65 -</t>
    <phoneticPr fontId="1"/>
  </si>
  <si>
    <t>- 66 -</t>
    <phoneticPr fontId="1"/>
  </si>
  <si>
    <t>- 67 -</t>
    <phoneticPr fontId="1"/>
  </si>
  <si>
    <t>渡　　　　　波</t>
    <phoneticPr fontId="1"/>
  </si>
  <si>
    <t>うち系統分</t>
    <phoneticPr fontId="1"/>
  </si>
  <si>
    <t>氷</t>
    <phoneticPr fontId="1"/>
  </si>
  <si>
    <t>気　仙　沼</t>
    <phoneticPr fontId="1"/>
  </si>
  <si>
    <t>気仙沼冷凍</t>
    <phoneticPr fontId="1"/>
  </si>
  <si>
    <t>石巻市蒲鉾</t>
    <phoneticPr fontId="1"/>
  </si>
  <si>
    <t>塩釜市団地</t>
    <phoneticPr fontId="1"/>
  </si>
  <si>
    <t>塩釜魚市場</t>
    <phoneticPr fontId="1"/>
  </si>
  <si>
    <t>女　　　　川</t>
    <phoneticPr fontId="1"/>
  </si>
  <si>
    <t>渡　　　　波</t>
    <phoneticPr fontId="1"/>
  </si>
  <si>
    <t>（石巻計）</t>
    <phoneticPr fontId="1"/>
  </si>
  <si>
    <t>経  済
 事  業
 雑資産</t>
    <rPh sb="6" eb="7">
      <t>ゴト</t>
    </rPh>
    <rPh sb="9" eb="10">
      <t>ギョウ</t>
    </rPh>
    <rPh sb="12" eb="13">
      <t>ザツ</t>
    </rPh>
    <rPh sb="13" eb="14">
      <t>シ</t>
    </rPh>
    <rPh sb="14" eb="15">
      <t>サン</t>
    </rPh>
    <phoneticPr fontId="1"/>
  </si>
  <si>
    <t>処分未
済持分</t>
    <rPh sb="0" eb="2">
      <t>ショブン</t>
    </rPh>
    <rPh sb="2" eb="3">
      <t>ミ</t>
    </rPh>
    <rPh sb="4" eb="5">
      <t>スミ</t>
    </rPh>
    <rPh sb="5" eb="7">
      <t>モチブン</t>
    </rPh>
    <phoneticPr fontId="2"/>
  </si>
  <si>
    <t>退   職
給   付
引当金</t>
    <rPh sb="0" eb="1">
      <t>シリゾ</t>
    </rPh>
    <rPh sb="4" eb="5">
      <t>ショク</t>
    </rPh>
    <rPh sb="6" eb="7">
      <t>キュウ</t>
    </rPh>
    <rPh sb="10" eb="11">
      <t>フ</t>
    </rPh>
    <rPh sb="12" eb="14">
      <t>ヒキアテ</t>
    </rPh>
    <rPh sb="14" eb="15">
      <t>キン</t>
    </rPh>
    <phoneticPr fontId="1"/>
  </si>
  <si>
    <t>経済
事業
未収金</t>
    <rPh sb="3" eb="4">
      <t>ゴト</t>
    </rPh>
    <rPh sb="4" eb="5">
      <t>ギョウ</t>
    </rPh>
    <rPh sb="6" eb="9">
      <t>ミシュウキン</t>
    </rPh>
    <phoneticPr fontId="1"/>
  </si>
  <si>
    <t>気 仙 沼 冷 凍</t>
    <phoneticPr fontId="1"/>
  </si>
  <si>
    <t>（単位：ｔ、千円）</t>
    <rPh sb="1" eb="3">
      <t>タンイ</t>
    </rPh>
    <rPh sb="6" eb="8">
      <t>センエン</t>
    </rPh>
    <phoneticPr fontId="1"/>
  </si>
  <si>
    <t>（単位：件、千円）</t>
    <rPh sb="1" eb="3">
      <t>タンイ</t>
    </rPh>
    <rPh sb="4" eb="5">
      <t>ケン</t>
    </rPh>
    <rPh sb="6" eb="8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</si>
</sst>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\-#,##0.0"/>
    <numFmt numFmtId="177" formatCode="0.0"/>
    <numFmt numFmtId="178" formatCode="#,##0;&quot;△&quot;#,##0"/>
    <numFmt numFmtId="179" formatCode="#,##0.0;&quot;¥&quot;\!\-#,##0.0"/>
    <numFmt numFmtId="180" formatCode="#,##0;&quot;△ &quot;#,##0"/>
    <numFmt numFmtId="181" formatCode="0.0;[Red]0.0"/>
    <numFmt numFmtId="182" formatCode="0.0_);[Red]\(0.0\)"/>
  </numFmts>
  <fonts count="23" x14ac:knownFonts="1">
    <font>
      <sz val="14"/>
      <name val="Terminal"/>
      <charset val="128"/>
    </font>
    <font>
      <sz val="14"/>
      <color indexed="12"/>
      <name val="Terminal"/>
      <charset val="128"/>
    </font>
    <font>
      <sz val="14"/>
      <name val="Terminal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Ｐ明朝"/>
      <family val="1"/>
      <charset val="128"/>
    </font>
    <font>
      <sz val="7"/>
      <color rgb="FFFF0000"/>
      <name val="ＭＳ 明朝"/>
      <family val="1"/>
      <charset val="128"/>
    </font>
    <font>
      <sz val="11"/>
      <name val="Times New Roman"/>
      <family val="1"/>
    </font>
    <font>
      <sz val="8"/>
      <name val="ＭＳ Ｐゴシック"/>
      <family val="3"/>
      <charset val="128"/>
    </font>
    <font>
      <sz val="11"/>
      <name val="Century"/>
      <family val="1"/>
    </font>
    <font>
      <sz val="12"/>
      <name val="Century"/>
      <family val="1"/>
    </font>
    <font>
      <sz val="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9">
    <xf numFmtId="176" fontId="0" fillId="0" borderId="0"/>
    <xf numFmtId="0" fontId="2" fillId="0" borderId="0"/>
    <xf numFmtId="37" fontId="2" fillId="0" borderId="0"/>
    <xf numFmtId="3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/>
  </cellStyleXfs>
  <cellXfs count="607">
    <xf numFmtId="176" fontId="0" fillId="0" borderId="0" xfId="0"/>
    <xf numFmtId="37" fontId="3" fillId="0" borderId="0" xfId="4" applyNumberFormat="1" applyFont="1" applyFill="1" applyAlignment="1" applyProtection="1">
      <alignment vertical="center"/>
    </xf>
    <xf numFmtId="0" fontId="3" fillId="0" borderId="0" xfId="4" applyFont="1" applyFill="1" applyAlignment="1">
      <alignment vertical="center"/>
    </xf>
    <xf numFmtId="0" fontId="3" fillId="0" borderId="0" xfId="5" applyFont="1" applyFill="1" applyAlignment="1">
      <alignment vertical="center"/>
    </xf>
    <xf numFmtId="37" fontId="3" fillId="0" borderId="3" xfId="7" applyNumberFormat="1" applyFont="1" applyFill="1" applyBorder="1" applyAlignment="1" applyProtection="1">
      <alignment vertical="center"/>
    </xf>
    <xf numFmtId="0" fontId="3" fillId="0" borderId="0" xfId="7" applyFont="1" applyFill="1" applyAlignment="1">
      <alignment vertical="center"/>
    </xf>
    <xf numFmtId="37" fontId="6" fillId="0" borderId="3" xfId="7" applyNumberFormat="1" applyFont="1" applyFill="1" applyBorder="1" applyAlignment="1" applyProtection="1">
      <alignment vertical="center"/>
    </xf>
    <xf numFmtId="0" fontId="3" fillId="0" borderId="0" xfId="6" applyFont="1" applyFill="1" applyAlignment="1">
      <alignment vertical="center"/>
    </xf>
    <xf numFmtId="37" fontId="3" fillId="0" borderId="0" xfId="6" applyNumberFormat="1" applyFont="1" applyFill="1" applyAlignment="1" applyProtection="1">
      <alignment vertical="center"/>
    </xf>
    <xf numFmtId="37" fontId="4" fillId="0" borderId="0" xfId="6" applyNumberFormat="1" applyFont="1" applyFill="1" applyAlignment="1" applyProtection="1">
      <alignment vertical="center"/>
    </xf>
    <xf numFmtId="37" fontId="4" fillId="0" borderId="0" xfId="6" applyNumberFormat="1" applyFont="1" applyFill="1" applyAlignment="1" applyProtection="1">
      <alignment horizontal="center" vertical="center"/>
    </xf>
    <xf numFmtId="37" fontId="4" fillId="0" borderId="5" xfId="6" applyNumberFormat="1" applyFont="1" applyFill="1" applyBorder="1" applyAlignment="1" applyProtection="1">
      <alignment vertical="center"/>
    </xf>
    <xf numFmtId="37" fontId="3" fillId="0" borderId="5" xfId="6" applyNumberFormat="1" applyFont="1" applyFill="1" applyBorder="1" applyAlignment="1" applyProtection="1">
      <alignment horizontal="center" vertical="center"/>
    </xf>
    <xf numFmtId="37" fontId="3" fillId="0" borderId="5" xfId="6" applyNumberFormat="1" applyFont="1" applyFill="1" applyBorder="1" applyAlignment="1" applyProtection="1">
      <alignment vertical="center"/>
    </xf>
    <xf numFmtId="37" fontId="7" fillId="0" borderId="8" xfId="6" applyNumberFormat="1" applyFont="1" applyFill="1" applyBorder="1" applyAlignment="1" applyProtection="1">
      <alignment horizontal="center" vertical="center"/>
    </xf>
    <xf numFmtId="37" fontId="7" fillId="0" borderId="1" xfId="6" applyNumberFormat="1" applyFont="1" applyFill="1" applyBorder="1" applyAlignment="1" applyProtection="1">
      <alignment horizontal="center" vertical="center"/>
    </xf>
    <xf numFmtId="37" fontId="7" fillId="0" borderId="9" xfId="6" applyNumberFormat="1" applyFont="1" applyFill="1" applyBorder="1" applyAlignment="1" applyProtection="1">
      <alignment horizontal="center" vertical="center"/>
    </xf>
    <xf numFmtId="37" fontId="6" fillId="0" borderId="8" xfId="6" applyNumberFormat="1" applyFont="1" applyFill="1" applyBorder="1" applyAlignment="1" applyProtection="1">
      <alignment horizontal="center" vertical="center"/>
    </xf>
    <xf numFmtId="37" fontId="6" fillId="0" borderId="1" xfId="6" applyNumberFormat="1" applyFont="1" applyFill="1" applyBorder="1" applyAlignment="1" applyProtection="1">
      <alignment horizontal="center" vertical="center"/>
    </xf>
    <xf numFmtId="37" fontId="6" fillId="0" borderId="9" xfId="6" applyNumberFormat="1" applyFont="1" applyFill="1" applyBorder="1" applyAlignment="1" applyProtection="1">
      <alignment horizontal="center" vertical="center"/>
    </xf>
    <xf numFmtId="37" fontId="6" fillId="0" borderId="5" xfId="6" applyNumberFormat="1" applyFont="1" applyFill="1" applyBorder="1" applyAlignment="1" applyProtection="1">
      <alignment horizontal="center" vertical="center"/>
    </xf>
    <xf numFmtId="37" fontId="3" fillId="0" borderId="0" xfId="4" applyNumberFormat="1" applyFont="1" applyFill="1" applyAlignment="1" applyProtection="1">
      <alignment horizontal="center" vertical="center"/>
    </xf>
    <xf numFmtId="37" fontId="5" fillId="0" borderId="0" xfId="4" applyNumberFormat="1" applyFont="1" applyFill="1" applyAlignment="1" applyProtection="1">
      <alignment vertical="center"/>
    </xf>
    <xf numFmtId="37" fontId="4" fillId="0" borderId="0" xfId="4" applyNumberFormat="1" applyFont="1" applyFill="1" applyAlignment="1" applyProtection="1">
      <alignment horizontal="center" vertical="center"/>
    </xf>
    <xf numFmtId="37" fontId="4" fillId="0" borderId="0" xfId="4" applyNumberFormat="1" applyFont="1" applyFill="1" applyBorder="1" applyAlignment="1" applyProtection="1">
      <alignment vertical="center"/>
    </xf>
    <xf numFmtId="37" fontId="3" fillId="0" borderId="0" xfId="5" applyNumberFormat="1" applyFont="1" applyFill="1" applyAlignment="1" applyProtection="1">
      <alignment vertical="center"/>
    </xf>
    <xf numFmtId="37" fontId="4" fillId="0" borderId="0" xfId="5" applyNumberFormat="1" applyFont="1" applyFill="1" applyAlignment="1" applyProtection="1">
      <alignment vertical="center"/>
    </xf>
    <xf numFmtId="37" fontId="4" fillId="0" borderId="0" xfId="5" applyNumberFormat="1" applyFont="1" applyFill="1" applyAlignment="1" applyProtection="1">
      <alignment horizontal="center" vertical="center"/>
    </xf>
    <xf numFmtId="37" fontId="3" fillId="0" borderId="0" xfId="5" applyNumberFormat="1" applyFont="1" applyFill="1" applyAlignment="1" applyProtection="1">
      <alignment horizontal="center" vertical="center"/>
    </xf>
    <xf numFmtId="37" fontId="4" fillId="0" borderId="5" xfId="5" applyNumberFormat="1" applyFont="1" applyFill="1" applyBorder="1" applyAlignment="1" applyProtection="1">
      <alignment vertical="center"/>
    </xf>
    <xf numFmtId="37" fontId="3" fillId="0" borderId="5" xfId="5" applyNumberFormat="1" applyFont="1" applyFill="1" applyBorder="1" applyAlignment="1" applyProtection="1">
      <alignment vertical="center"/>
    </xf>
    <xf numFmtId="37" fontId="6" fillId="0" borderId="1" xfId="5" applyNumberFormat="1" applyFont="1" applyFill="1" applyBorder="1" applyAlignment="1" applyProtection="1">
      <alignment horizontal="center" vertical="center"/>
    </xf>
    <xf numFmtId="37" fontId="3" fillId="0" borderId="0" xfId="7" applyNumberFormat="1" applyFont="1" applyFill="1" applyAlignment="1" applyProtection="1">
      <alignment vertical="center"/>
    </xf>
    <xf numFmtId="37" fontId="3" fillId="0" borderId="0" xfId="7" applyNumberFormat="1" applyFont="1" applyFill="1" applyAlignment="1" applyProtection="1">
      <alignment horizontal="center" vertical="center"/>
    </xf>
    <xf numFmtId="37" fontId="3" fillId="0" borderId="5" xfId="7" applyNumberFormat="1" applyFont="1" applyFill="1" applyBorder="1" applyAlignment="1" applyProtection="1">
      <alignment vertical="center"/>
    </xf>
    <xf numFmtId="37" fontId="6" fillId="0" borderId="13" xfId="7" applyNumberFormat="1" applyFont="1" applyFill="1" applyBorder="1" applyAlignment="1" applyProtection="1">
      <alignment vertical="center"/>
    </xf>
    <xf numFmtId="37" fontId="6" fillId="0" borderId="1" xfId="7" applyNumberFormat="1" applyFont="1" applyFill="1" applyBorder="1" applyAlignment="1" applyProtection="1">
      <alignment horizontal="center" vertical="center"/>
    </xf>
    <xf numFmtId="37" fontId="6" fillId="0" borderId="20" xfId="7" applyNumberFormat="1" applyFont="1" applyFill="1" applyBorder="1" applyAlignment="1" applyProtection="1">
      <alignment horizontal="center" vertical="center"/>
    </xf>
    <xf numFmtId="37" fontId="6" fillId="0" borderId="1" xfId="7" applyNumberFormat="1" applyFont="1" applyFill="1" applyBorder="1" applyAlignment="1" applyProtection="1">
      <alignment horizontal="center" vertical="center" wrapText="1"/>
    </xf>
    <xf numFmtId="37" fontId="6" fillId="0" borderId="12" xfId="7" applyNumberFormat="1" applyFont="1" applyFill="1" applyBorder="1" applyAlignment="1" applyProtection="1">
      <alignment vertical="center"/>
    </xf>
    <xf numFmtId="37" fontId="6" fillId="0" borderId="5" xfId="7" applyNumberFormat="1" applyFont="1" applyFill="1" applyBorder="1" applyAlignment="1" applyProtection="1">
      <alignment horizontal="center" vertical="center"/>
    </xf>
    <xf numFmtId="37" fontId="6" fillId="0" borderId="1" xfId="7" applyNumberFormat="1" applyFont="1" applyFill="1" applyBorder="1" applyAlignment="1" applyProtection="1">
      <alignment horizontal="center" vertical="center" shrinkToFit="1"/>
    </xf>
    <xf numFmtId="0" fontId="6" fillId="0" borderId="16" xfId="7" applyFont="1" applyFill="1" applyBorder="1" applyAlignment="1" applyProtection="1">
      <alignment horizontal="center" vertical="center"/>
      <protection locked="0"/>
    </xf>
    <xf numFmtId="37" fontId="6" fillId="0" borderId="8" xfId="7" applyNumberFormat="1" applyFont="1" applyFill="1" applyBorder="1" applyAlignment="1" applyProtection="1">
      <alignment horizontal="center" vertical="center"/>
    </xf>
    <xf numFmtId="0" fontId="3" fillId="0" borderId="0" xfId="6" applyFont="1" applyFill="1" applyAlignment="1">
      <alignment vertical="center" shrinkToFit="1"/>
    </xf>
    <xf numFmtId="37" fontId="6" fillId="0" borderId="3" xfId="7" applyNumberFormat="1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vertical="center"/>
    </xf>
    <xf numFmtId="37" fontId="6" fillId="0" borderId="1" xfId="5" applyNumberFormat="1" applyFont="1" applyFill="1" applyBorder="1" applyAlignment="1" applyProtection="1">
      <alignment horizontal="center" vertical="center" shrinkToFit="1"/>
    </xf>
    <xf numFmtId="37" fontId="6" fillId="0" borderId="20" xfId="5" applyNumberFormat="1" applyFont="1" applyFill="1" applyBorder="1" applyAlignment="1" applyProtection="1">
      <alignment horizontal="center" vertical="center" shrinkToFit="1"/>
    </xf>
    <xf numFmtId="37" fontId="6" fillId="0" borderId="33" xfId="5" applyNumberFormat="1" applyFont="1" applyFill="1" applyBorder="1" applyAlignment="1" applyProtection="1">
      <alignment horizontal="center" vertical="center" shrinkToFit="1"/>
    </xf>
    <xf numFmtId="37" fontId="6" fillId="0" borderId="8" xfId="5" applyNumberFormat="1" applyFont="1" applyFill="1" applyBorder="1" applyAlignment="1" applyProtection="1">
      <alignment horizontal="center" vertical="center" shrinkToFit="1"/>
    </xf>
    <xf numFmtId="37" fontId="6" fillId="0" borderId="20" xfId="7" applyNumberFormat="1" applyFont="1" applyFill="1" applyBorder="1" applyAlignment="1" applyProtection="1">
      <alignment horizontal="center" vertical="center" shrinkToFit="1"/>
    </xf>
    <xf numFmtId="0" fontId="3" fillId="0" borderId="0" xfId="7" applyFont="1" applyFill="1" applyAlignment="1" applyProtection="1">
      <alignment vertical="center"/>
    </xf>
    <xf numFmtId="37" fontId="6" fillId="0" borderId="19" xfId="8" applyNumberFormat="1" applyFont="1" applyFill="1" applyBorder="1" applyAlignment="1" applyProtection="1">
      <alignment horizontal="center" vertical="center"/>
    </xf>
    <xf numFmtId="37" fontId="6" fillId="0" borderId="16" xfId="8" applyNumberFormat="1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vertical="center" shrinkToFit="1"/>
    </xf>
    <xf numFmtId="0" fontId="3" fillId="0" borderId="0" xfId="5" applyFont="1" applyFill="1" applyAlignment="1">
      <alignment vertical="center" shrinkToFit="1"/>
    </xf>
    <xf numFmtId="37" fontId="8" fillId="0" borderId="35" xfId="0" applyNumberFormat="1" applyFont="1" applyFill="1" applyBorder="1" applyAlignment="1" applyProtection="1">
      <alignment horizontal="distributed" vertical="center"/>
    </xf>
    <xf numFmtId="37" fontId="8" fillId="0" borderId="29" xfId="0" applyNumberFormat="1" applyFont="1" applyFill="1" applyBorder="1" applyAlignment="1" applyProtection="1">
      <alignment horizontal="distributed" vertical="center"/>
    </xf>
    <xf numFmtId="37" fontId="8" fillId="0" borderId="9" xfId="0" applyNumberFormat="1" applyFont="1" applyFill="1" applyBorder="1" applyAlignment="1" applyProtection="1">
      <alignment horizontal="distributed" vertical="center"/>
    </xf>
    <xf numFmtId="178" fontId="9" fillId="0" borderId="36" xfId="6" applyNumberFormat="1" applyFont="1" applyFill="1" applyBorder="1" applyAlignment="1" applyProtection="1">
      <alignment vertical="center"/>
      <protection locked="0"/>
    </xf>
    <xf numFmtId="178" fontId="9" fillId="0" borderId="37" xfId="6" applyNumberFormat="1" applyFont="1" applyFill="1" applyBorder="1" applyAlignment="1" applyProtection="1">
      <alignment vertical="center"/>
      <protection locked="0"/>
    </xf>
    <xf numFmtId="178" fontId="9" fillId="0" borderId="31" xfId="6" applyNumberFormat="1" applyFont="1" applyFill="1" applyBorder="1" applyAlignment="1" applyProtection="1">
      <alignment vertical="center"/>
    </xf>
    <xf numFmtId="178" fontId="9" fillId="0" borderId="37" xfId="6" applyNumberFormat="1" applyFont="1" applyFill="1" applyBorder="1" applyAlignment="1" applyProtection="1">
      <alignment vertical="center" shrinkToFit="1"/>
      <protection locked="0"/>
    </xf>
    <xf numFmtId="178" fontId="9" fillId="0" borderId="39" xfId="6" applyNumberFormat="1" applyFont="1" applyFill="1" applyBorder="1" applyAlignment="1" applyProtection="1">
      <alignment vertical="center"/>
      <protection locked="0"/>
    </xf>
    <xf numFmtId="178" fontId="9" fillId="0" borderId="37" xfId="6" applyNumberFormat="1" applyFont="1" applyFill="1" applyBorder="1" applyAlignment="1" applyProtection="1">
      <alignment vertical="center"/>
    </xf>
    <xf numFmtId="180" fontId="9" fillId="0" borderId="53" xfId="2" applyNumberFormat="1" applyFont="1" applyFill="1" applyBorder="1" applyAlignment="1" applyProtection="1">
      <alignment vertical="center"/>
    </xf>
    <xf numFmtId="178" fontId="9" fillId="0" borderId="30" xfId="6" applyNumberFormat="1" applyFont="1" applyFill="1" applyBorder="1" applyAlignment="1" applyProtection="1">
      <alignment vertical="center"/>
      <protection locked="0"/>
    </xf>
    <xf numFmtId="178" fontId="9" fillId="0" borderId="31" xfId="6" applyNumberFormat="1" applyFont="1" applyFill="1" applyBorder="1" applyAlignment="1" applyProtection="1">
      <alignment vertical="center"/>
      <protection locked="0"/>
    </xf>
    <xf numFmtId="178" fontId="9" fillId="0" borderId="31" xfId="6" applyNumberFormat="1" applyFont="1" applyFill="1" applyBorder="1" applyAlignment="1" applyProtection="1">
      <alignment vertical="center" shrinkToFit="1"/>
      <protection locked="0"/>
    </xf>
    <xf numFmtId="178" fontId="9" fillId="0" borderId="22" xfId="6" applyNumberFormat="1" applyFont="1" applyFill="1" applyBorder="1" applyAlignment="1" applyProtection="1">
      <alignment vertical="center"/>
      <protection locked="0"/>
    </xf>
    <xf numFmtId="178" fontId="9" fillId="0" borderId="24" xfId="6" applyNumberFormat="1" applyFont="1" applyFill="1" applyBorder="1" applyAlignment="1" applyProtection="1">
      <alignment vertical="center"/>
    </xf>
    <xf numFmtId="178" fontId="9" fillId="0" borderId="15" xfId="6" applyNumberFormat="1" applyFont="1" applyFill="1" applyBorder="1" applyAlignment="1" applyProtection="1">
      <alignment vertical="center"/>
    </xf>
    <xf numFmtId="178" fontId="9" fillId="0" borderId="16" xfId="6" applyNumberFormat="1" applyFont="1" applyFill="1" applyBorder="1" applyAlignment="1" applyProtection="1">
      <alignment vertical="center"/>
    </xf>
    <xf numFmtId="178" fontId="9" fillId="0" borderId="16" xfId="6" applyNumberFormat="1" applyFont="1" applyFill="1" applyBorder="1" applyAlignment="1" applyProtection="1">
      <alignment vertical="center" shrinkToFit="1"/>
    </xf>
    <xf numFmtId="178" fontId="9" fillId="0" borderId="48" xfId="6" applyNumberFormat="1" applyFont="1" applyFill="1" applyBorder="1" applyAlignment="1" applyProtection="1">
      <alignment vertical="center"/>
    </xf>
    <xf numFmtId="178" fontId="9" fillId="0" borderId="9" xfId="6" applyNumberFormat="1" applyFont="1" applyFill="1" applyBorder="1" applyAlignment="1" applyProtection="1">
      <alignment vertical="center"/>
    </xf>
    <xf numFmtId="178" fontId="9" fillId="0" borderId="26" xfId="6" applyNumberFormat="1" applyFont="1" applyFill="1" applyBorder="1" applyAlignment="1" applyProtection="1">
      <alignment vertical="center" shrinkToFit="1"/>
    </xf>
    <xf numFmtId="178" fontId="9" fillId="0" borderId="25" xfId="6" applyNumberFormat="1" applyFont="1" applyFill="1" applyBorder="1" applyAlignment="1" applyProtection="1">
      <alignment vertical="center" shrinkToFit="1"/>
    </xf>
    <xf numFmtId="178" fontId="9" fillId="0" borderId="27" xfId="6" applyNumberFormat="1" applyFont="1" applyFill="1" applyBorder="1" applyAlignment="1" applyProtection="1">
      <alignment vertical="center" shrinkToFit="1"/>
    </xf>
    <xf numFmtId="178" fontId="9" fillId="0" borderId="28" xfId="6" applyNumberFormat="1" applyFont="1" applyFill="1" applyBorder="1" applyAlignment="1" applyProtection="1">
      <alignment vertical="center" shrinkToFit="1"/>
    </xf>
    <xf numFmtId="37" fontId="8" fillId="0" borderId="29" xfId="0" applyNumberFormat="1" applyFont="1" applyFill="1" applyBorder="1" applyAlignment="1" applyProtection="1">
      <alignment horizontal="distributed" vertical="center" wrapText="1"/>
    </xf>
    <xf numFmtId="37" fontId="8" fillId="0" borderId="2" xfId="0" applyNumberFormat="1" applyFont="1" applyFill="1" applyBorder="1" applyAlignment="1" applyProtection="1">
      <alignment horizontal="center" vertical="center"/>
    </xf>
    <xf numFmtId="37" fontId="9" fillId="0" borderId="38" xfId="7" applyNumberFormat="1" applyFont="1" applyFill="1" applyBorder="1" applyAlignment="1" applyProtection="1">
      <alignment vertical="center"/>
      <protection locked="0"/>
    </xf>
    <xf numFmtId="37" fontId="9" fillId="0" borderId="37" xfId="7" applyNumberFormat="1" applyFont="1" applyFill="1" applyBorder="1" applyAlignment="1" applyProtection="1">
      <alignment vertical="center"/>
      <protection locked="0"/>
    </xf>
    <xf numFmtId="37" fontId="9" fillId="0" borderId="37" xfId="7" applyNumberFormat="1" applyFont="1" applyFill="1" applyBorder="1" applyAlignment="1" applyProtection="1">
      <alignment vertical="center"/>
    </xf>
    <xf numFmtId="180" fontId="9" fillId="0" borderId="37" xfId="7" applyNumberFormat="1" applyFont="1" applyFill="1" applyBorder="1" applyAlignment="1" applyProtection="1">
      <alignment vertical="center" shrinkToFit="1"/>
      <protection locked="0"/>
    </xf>
    <xf numFmtId="37" fontId="9" fillId="0" borderId="31" xfId="7" applyNumberFormat="1" applyFont="1" applyFill="1" applyBorder="1" applyAlignment="1" applyProtection="1">
      <alignment vertical="center"/>
    </xf>
    <xf numFmtId="180" fontId="9" fillId="0" borderId="39" xfId="7" applyNumberFormat="1" applyFont="1" applyFill="1" applyBorder="1" applyAlignment="1" applyProtection="1">
      <alignment vertical="center"/>
      <protection locked="0"/>
    </xf>
    <xf numFmtId="37" fontId="9" fillId="0" borderId="35" xfId="7" applyNumberFormat="1" applyFont="1" applyFill="1" applyBorder="1" applyAlignment="1" applyProtection="1">
      <alignment vertical="center"/>
    </xf>
    <xf numFmtId="37" fontId="9" fillId="0" borderId="32" xfId="7" applyNumberFormat="1" applyFont="1" applyFill="1" applyBorder="1" applyAlignment="1" applyProtection="1">
      <alignment vertical="center"/>
      <protection locked="0"/>
    </xf>
    <xf numFmtId="37" fontId="9" fillId="0" borderId="31" xfId="7" applyNumberFormat="1" applyFont="1" applyFill="1" applyBorder="1" applyAlignment="1" applyProtection="1">
      <alignment vertical="center"/>
      <protection locked="0"/>
    </xf>
    <xf numFmtId="180" fontId="9" fillId="0" borderId="31" xfId="7" applyNumberFormat="1" applyFont="1" applyFill="1" applyBorder="1" applyAlignment="1" applyProtection="1">
      <alignment vertical="center" shrinkToFit="1"/>
      <protection locked="0"/>
    </xf>
    <xf numFmtId="180" fontId="9" fillId="0" borderId="22" xfId="7" applyNumberFormat="1" applyFont="1" applyFill="1" applyBorder="1" applyAlignment="1" applyProtection="1">
      <alignment vertical="center"/>
      <protection locked="0"/>
    </xf>
    <xf numFmtId="37" fontId="9" fillId="0" borderId="29" xfId="7" applyNumberFormat="1" applyFont="1" applyFill="1" applyBorder="1" applyAlignment="1" applyProtection="1">
      <alignment vertical="center"/>
    </xf>
    <xf numFmtId="37" fontId="9" fillId="0" borderId="34" xfId="7" applyNumberFormat="1" applyFont="1" applyFill="1" applyBorder="1" applyAlignment="1" applyProtection="1">
      <alignment vertical="center"/>
    </xf>
    <xf numFmtId="37" fontId="9" fillId="0" borderId="1" xfId="7" applyNumberFormat="1" applyFont="1" applyFill="1" applyBorder="1" applyAlignment="1" applyProtection="1">
      <alignment vertical="center" shrinkToFit="1"/>
    </xf>
    <xf numFmtId="37" fontId="9" fillId="0" borderId="1" xfId="7" applyNumberFormat="1" applyFont="1" applyFill="1" applyBorder="1" applyAlignment="1" applyProtection="1">
      <alignment vertical="center"/>
    </xf>
    <xf numFmtId="180" fontId="9" fillId="0" borderId="1" xfId="7" applyNumberFormat="1" applyFont="1" applyFill="1" applyBorder="1" applyAlignment="1" applyProtection="1">
      <alignment vertical="center" shrinkToFit="1"/>
    </xf>
    <xf numFmtId="180" fontId="9" fillId="0" borderId="20" xfId="7" applyNumberFormat="1" applyFont="1" applyFill="1" applyBorder="1" applyAlignment="1" applyProtection="1">
      <alignment vertical="center"/>
    </xf>
    <xf numFmtId="37" fontId="9" fillId="0" borderId="9" xfId="7" applyNumberFormat="1" applyFont="1" applyFill="1" applyBorder="1" applyAlignment="1" applyProtection="1">
      <alignment vertical="center"/>
    </xf>
    <xf numFmtId="37" fontId="9" fillId="0" borderId="31" xfId="7" applyNumberFormat="1" applyFont="1" applyFill="1" applyBorder="1" applyAlignment="1" applyProtection="1">
      <alignment vertical="center" shrinkToFit="1"/>
      <protection locked="0"/>
    </xf>
    <xf numFmtId="37" fontId="9" fillId="0" borderId="26" xfId="7" applyNumberFormat="1" applyFont="1" applyFill="1" applyBorder="1" applyAlignment="1" applyProtection="1">
      <alignment vertical="center"/>
    </xf>
    <xf numFmtId="37" fontId="9" fillId="0" borderId="25" xfId="7" applyNumberFormat="1" applyFont="1" applyFill="1" applyBorder="1" applyAlignment="1" applyProtection="1">
      <alignment vertical="center"/>
    </xf>
    <xf numFmtId="37" fontId="9" fillId="0" borderId="25" xfId="7" applyNumberFormat="1" applyFont="1" applyFill="1" applyBorder="1" applyAlignment="1" applyProtection="1">
      <alignment vertical="center" shrinkToFit="1"/>
    </xf>
    <xf numFmtId="180" fontId="9" fillId="0" borderId="25" xfId="7" applyNumberFormat="1" applyFont="1" applyFill="1" applyBorder="1" applyAlignment="1" applyProtection="1">
      <alignment vertical="center" shrinkToFit="1"/>
    </xf>
    <xf numFmtId="180" fontId="9" fillId="0" borderId="27" xfId="7" applyNumberFormat="1" applyFont="1" applyFill="1" applyBorder="1" applyAlignment="1" applyProtection="1">
      <alignment vertical="center"/>
    </xf>
    <xf numFmtId="37" fontId="9" fillId="0" borderId="21" xfId="7" applyNumberFormat="1" applyFont="1" applyFill="1" applyBorder="1" applyAlignment="1" applyProtection="1">
      <alignment vertical="center" shrinkToFit="1"/>
    </xf>
    <xf numFmtId="37" fontId="9" fillId="0" borderId="36" xfId="7" applyNumberFormat="1" applyFont="1" applyFill="1" applyBorder="1" applyAlignment="1" applyProtection="1">
      <alignment vertical="center"/>
      <protection locked="0"/>
    </xf>
    <xf numFmtId="180" fontId="9" fillId="0" borderId="37" xfId="7" applyNumberFormat="1" applyFont="1" applyFill="1" applyBorder="1" applyAlignment="1" applyProtection="1">
      <alignment vertical="center"/>
      <protection locked="0"/>
    </xf>
    <xf numFmtId="37" fontId="9" fillId="0" borderId="39" xfId="7" applyNumberFormat="1" applyFont="1" applyFill="1" applyBorder="1" applyAlignment="1" applyProtection="1">
      <alignment vertical="center"/>
      <protection locked="0"/>
    </xf>
    <xf numFmtId="180" fontId="9" fillId="0" borderId="35" xfId="3" applyNumberFormat="1" applyFont="1" applyFill="1" applyBorder="1" applyAlignment="1" applyProtection="1">
      <alignment vertical="center"/>
    </xf>
    <xf numFmtId="37" fontId="9" fillId="0" borderId="30" xfId="7" applyNumberFormat="1" applyFont="1" applyFill="1" applyBorder="1" applyAlignment="1" applyProtection="1">
      <alignment vertical="center"/>
      <protection locked="0"/>
    </xf>
    <xf numFmtId="180" fontId="9" fillId="0" borderId="31" xfId="7" applyNumberFormat="1" applyFont="1" applyFill="1" applyBorder="1" applyAlignment="1" applyProtection="1">
      <alignment vertical="center"/>
      <protection locked="0"/>
    </xf>
    <xf numFmtId="37" fontId="9" fillId="0" borderId="22" xfId="7" applyNumberFormat="1" applyFont="1" applyFill="1" applyBorder="1" applyAlignment="1" applyProtection="1">
      <alignment vertical="center"/>
      <protection locked="0"/>
    </xf>
    <xf numFmtId="180" fontId="9" fillId="0" borderId="29" xfId="3" applyNumberFormat="1" applyFont="1" applyFill="1" applyBorder="1" applyAlignment="1" applyProtection="1">
      <alignment vertical="center"/>
    </xf>
    <xf numFmtId="37" fontId="9" fillId="0" borderId="43" xfId="7" applyNumberFormat="1" applyFont="1" applyFill="1" applyBorder="1" applyAlignment="1" applyProtection="1">
      <alignment vertical="center"/>
      <protection locked="0"/>
    </xf>
    <xf numFmtId="37" fontId="9" fillId="0" borderId="8" xfId="7" applyNumberFormat="1" applyFont="1" applyFill="1" applyBorder="1" applyAlignment="1" applyProtection="1">
      <alignment vertical="center" shrinkToFit="1"/>
    </xf>
    <xf numFmtId="37" fontId="9" fillId="0" borderId="19" xfId="7" applyNumberFormat="1" applyFont="1" applyFill="1" applyBorder="1" applyAlignment="1" applyProtection="1">
      <alignment vertical="center"/>
    </xf>
    <xf numFmtId="37" fontId="9" fillId="0" borderId="41" xfId="7" applyNumberFormat="1" applyFont="1" applyFill="1" applyBorder="1" applyAlignment="1" applyProtection="1">
      <alignment vertical="center"/>
    </xf>
    <xf numFmtId="37" fontId="9" fillId="0" borderId="19" xfId="7" applyNumberFormat="1" applyFont="1" applyFill="1" applyBorder="1" applyAlignment="1" applyProtection="1">
      <alignment vertical="center" shrinkToFit="1"/>
    </xf>
    <xf numFmtId="37" fontId="9" fillId="0" borderId="20" xfId="7" applyNumberFormat="1" applyFont="1" applyFill="1" applyBorder="1" applyAlignment="1" applyProtection="1">
      <alignment vertical="center" shrinkToFit="1"/>
    </xf>
    <xf numFmtId="37" fontId="9" fillId="0" borderId="20" xfId="7" applyNumberFormat="1" applyFont="1" applyFill="1" applyBorder="1" applyAlignment="1" applyProtection="1">
      <alignment vertical="center"/>
    </xf>
    <xf numFmtId="37" fontId="9" fillId="0" borderId="9" xfId="7" applyNumberFormat="1" applyFont="1" applyFill="1" applyBorder="1" applyAlignment="1" applyProtection="1">
      <alignment vertical="center" shrinkToFit="1"/>
    </xf>
    <xf numFmtId="180" fontId="9" fillId="0" borderId="1" xfId="7" applyNumberFormat="1" applyFont="1" applyFill="1" applyBorder="1" applyAlignment="1" applyProtection="1">
      <alignment vertical="center"/>
    </xf>
    <xf numFmtId="37" fontId="9" fillId="0" borderId="26" xfId="7" applyNumberFormat="1" applyFont="1" applyFill="1" applyBorder="1" applyAlignment="1" applyProtection="1">
      <alignment vertical="center" shrinkToFit="1"/>
    </xf>
    <xf numFmtId="37" fontId="9" fillId="0" borderId="27" xfId="7" applyNumberFormat="1" applyFont="1" applyFill="1" applyBorder="1" applyAlignment="1" applyProtection="1">
      <alignment vertical="center"/>
    </xf>
    <xf numFmtId="37" fontId="9" fillId="0" borderId="15" xfId="7" applyNumberFormat="1" applyFont="1" applyFill="1" applyBorder="1" applyAlignment="1" applyProtection="1">
      <alignment vertical="center"/>
    </xf>
    <xf numFmtId="37" fontId="9" fillId="0" borderId="16" xfId="7" applyNumberFormat="1" applyFont="1" applyFill="1" applyBorder="1" applyAlignment="1" applyProtection="1">
      <alignment vertical="center"/>
    </xf>
    <xf numFmtId="37" fontId="9" fillId="0" borderId="47" xfId="7" applyNumberFormat="1" applyFont="1" applyFill="1" applyBorder="1" applyAlignment="1" applyProtection="1">
      <alignment vertical="center"/>
    </xf>
    <xf numFmtId="37" fontId="9" fillId="0" borderId="8" xfId="7" applyNumberFormat="1" applyFont="1" applyFill="1" applyBorder="1" applyAlignment="1" applyProtection="1">
      <alignment vertical="center"/>
    </xf>
    <xf numFmtId="37" fontId="9" fillId="0" borderId="30" xfId="7" applyNumberFormat="1" applyFont="1" applyFill="1" applyBorder="1" applyAlignment="1" applyProtection="1">
      <alignment vertical="center" shrinkToFit="1"/>
      <protection locked="0"/>
    </xf>
    <xf numFmtId="37" fontId="9" fillId="0" borderId="21" xfId="7" applyNumberFormat="1" applyFont="1" applyFill="1" applyBorder="1" applyAlignment="1" applyProtection="1">
      <alignment vertical="center"/>
    </xf>
    <xf numFmtId="37" fontId="8" fillId="0" borderId="40" xfId="0" applyNumberFormat="1" applyFont="1" applyFill="1" applyBorder="1" applyAlignment="1" applyProtection="1">
      <alignment horizontal="distributed" vertical="center"/>
    </xf>
    <xf numFmtId="37" fontId="8" fillId="0" borderId="23" xfId="0" applyNumberFormat="1" applyFont="1" applyFill="1" applyBorder="1" applyAlignment="1" applyProtection="1">
      <alignment horizontal="distributed" vertical="center"/>
    </xf>
    <xf numFmtId="37" fontId="8" fillId="0" borderId="23" xfId="0" applyNumberFormat="1" applyFont="1" applyFill="1" applyBorder="1" applyAlignment="1" applyProtection="1">
      <alignment horizontal="distributed" vertical="center" wrapText="1"/>
    </xf>
    <xf numFmtId="37" fontId="8" fillId="0" borderId="44" xfId="0" applyNumberFormat="1" applyFont="1" applyFill="1" applyBorder="1" applyAlignment="1" applyProtection="1">
      <alignment horizontal="distributed" vertical="center"/>
    </xf>
    <xf numFmtId="37" fontId="8" fillId="0" borderId="2" xfId="0" applyNumberFormat="1" applyFont="1" applyFill="1" applyBorder="1" applyAlignment="1" applyProtection="1">
      <alignment horizontal="center" vertical="center" shrinkToFit="1"/>
    </xf>
    <xf numFmtId="37" fontId="9" fillId="0" borderId="39" xfId="7" applyNumberFormat="1" applyFont="1" applyFill="1" applyBorder="1" applyAlignment="1" applyProtection="1">
      <alignment vertical="center"/>
    </xf>
    <xf numFmtId="37" fontId="9" fillId="0" borderId="22" xfId="7" applyNumberFormat="1" applyFont="1" applyFill="1" applyBorder="1" applyAlignment="1" applyProtection="1">
      <alignment vertical="center"/>
    </xf>
    <xf numFmtId="37" fontId="9" fillId="0" borderId="27" xfId="7" applyNumberFormat="1" applyFont="1" applyFill="1" applyBorder="1" applyAlignment="1" applyProtection="1">
      <alignment vertical="center" shrinkToFit="1"/>
    </xf>
    <xf numFmtId="37" fontId="8" fillId="0" borderId="11" xfId="7" applyNumberFormat="1" applyFont="1" applyFill="1" applyBorder="1" applyAlignment="1" applyProtection="1">
      <alignment horizontal="center" vertical="center"/>
    </xf>
    <xf numFmtId="37" fontId="9" fillId="0" borderId="36" xfId="7" applyNumberFormat="1" applyFont="1" applyFill="1" applyBorder="1" applyAlignment="1" applyProtection="1">
      <alignment vertical="center" shrinkToFit="1"/>
      <protection locked="0"/>
    </xf>
    <xf numFmtId="180" fontId="9" fillId="0" borderId="35" xfId="7" applyNumberFormat="1" applyFont="1" applyFill="1" applyBorder="1" applyAlignment="1" applyProtection="1">
      <alignment vertical="center"/>
    </xf>
    <xf numFmtId="37" fontId="9" fillId="0" borderId="40" xfId="7" applyNumberFormat="1" applyFont="1" applyFill="1" applyBorder="1" applyAlignment="1" applyProtection="1">
      <alignment vertical="center"/>
    </xf>
    <xf numFmtId="37" fontId="9" fillId="0" borderId="23" xfId="7" applyNumberFormat="1" applyFont="1" applyFill="1" applyBorder="1" applyAlignment="1" applyProtection="1">
      <alignment vertical="center"/>
    </xf>
    <xf numFmtId="37" fontId="9" fillId="0" borderId="44" xfId="7" applyNumberFormat="1" applyFont="1" applyFill="1" applyBorder="1" applyAlignment="1" applyProtection="1">
      <alignment vertical="center"/>
    </xf>
    <xf numFmtId="180" fontId="9" fillId="0" borderId="27" xfId="7" applyNumberFormat="1" applyFont="1" applyFill="1" applyBorder="1" applyAlignment="1" applyProtection="1">
      <alignment vertical="center" shrinkToFit="1"/>
    </xf>
    <xf numFmtId="37" fontId="9" fillId="0" borderId="54" xfId="7" applyNumberFormat="1" applyFont="1" applyFill="1" applyBorder="1" applyAlignment="1" applyProtection="1">
      <alignment vertical="center" shrinkToFit="1"/>
    </xf>
    <xf numFmtId="37" fontId="8" fillId="0" borderId="10" xfId="5" applyNumberFormat="1" applyFont="1" applyFill="1" applyBorder="1" applyAlignment="1" applyProtection="1">
      <alignment vertical="center"/>
    </xf>
    <xf numFmtId="37" fontId="8" fillId="0" borderId="12" xfId="5" applyNumberFormat="1" applyFont="1" applyFill="1" applyBorder="1" applyAlignment="1" applyProtection="1">
      <alignment vertical="center"/>
    </xf>
    <xf numFmtId="37" fontId="10" fillId="0" borderId="5" xfId="5" applyNumberFormat="1" applyFont="1" applyFill="1" applyBorder="1" applyAlignment="1" applyProtection="1">
      <alignment vertical="center"/>
    </xf>
    <xf numFmtId="37" fontId="11" fillId="0" borderId="11" xfId="5" applyNumberFormat="1" applyFont="1" applyFill="1" applyBorder="1" applyAlignment="1" applyProtection="1">
      <alignment horizontal="center" vertical="center"/>
    </xf>
    <xf numFmtId="37" fontId="12" fillId="0" borderId="36" xfId="5" applyNumberFormat="1" applyFont="1" applyFill="1" applyBorder="1" applyAlignment="1" applyProtection="1">
      <alignment vertical="center"/>
      <protection locked="0"/>
    </xf>
    <xf numFmtId="37" fontId="12" fillId="0" borderId="37" xfId="5" applyNumberFormat="1" applyFont="1" applyFill="1" applyBorder="1" applyAlignment="1" applyProtection="1">
      <alignment vertical="center"/>
      <protection locked="0"/>
    </xf>
    <xf numFmtId="37" fontId="12" fillId="0" borderId="37" xfId="5" applyNumberFormat="1" applyFont="1" applyFill="1" applyBorder="1" applyAlignment="1" applyProtection="1">
      <alignment vertical="center" shrinkToFit="1"/>
      <protection locked="0"/>
    </xf>
    <xf numFmtId="37" fontId="12" fillId="0" borderId="37" xfId="5" applyNumberFormat="1" applyFont="1" applyFill="1" applyBorder="1" applyAlignment="1" applyProtection="1">
      <alignment vertical="center"/>
    </xf>
    <xf numFmtId="37" fontId="12" fillId="0" borderId="41" xfId="5" applyNumberFormat="1" applyFont="1" applyFill="1" applyBorder="1" applyAlignment="1" applyProtection="1">
      <alignment vertical="center"/>
      <protection locked="0"/>
    </xf>
    <xf numFmtId="37" fontId="12" fillId="0" borderId="43" xfId="5" applyNumberFormat="1" applyFont="1" applyFill="1" applyBorder="1" applyAlignment="1" applyProtection="1">
      <alignment vertical="center"/>
    </xf>
    <xf numFmtId="37" fontId="12" fillId="0" borderId="35" xfId="5" applyNumberFormat="1" applyFont="1" applyFill="1" applyBorder="1" applyAlignment="1" applyProtection="1">
      <alignment vertical="center"/>
    </xf>
    <xf numFmtId="37" fontId="12" fillId="0" borderId="30" xfId="5" applyNumberFormat="1" applyFont="1" applyFill="1" applyBorder="1" applyAlignment="1" applyProtection="1">
      <alignment vertical="center"/>
      <protection locked="0"/>
    </xf>
    <xf numFmtId="37" fontId="12" fillId="0" borderId="31" xfId="5" applyNumberFormat="1" applyFont="1" applyFill="1" applyBorder="1" applyAlignment="1" applyProtection="1">
      <alignment vertical="center"/>
      <protection locked="0"/>
    </xf>
    <xf numFmtId="37" fontId="12" fillId="0" borderId="31" xfId="5" applyNumberFormat="1" applyFont="1" applyFill="1" applyBorder="1" applyAlignment="1" applyProtection="1">
      <alignment vertical="center" shrinkToFit="1"/>
      <protection locked="0"/>
    </xf>
    <xf numFmtId="37" fontId="12" fillId="0" borderId="31" xfId="5" applyNumberFormat="1" applyFont="1" applyFill="1" applyBorder="1" applyAlignment="1" applyProtection="1">
      <alignment vertical="center"/>
    </xf>
    <xf numFmtId="37" fontId="12" fillId="0" borderId="22" xfId="5" applyNumberFormat="1" applyFont="1" applyFill="1" applyBorder="1" applyAlignment="1" applyProtection="1">
      <alignment vertical="center"/>
    </xf>
    <xf numFmtId="37" fontId="12" fillId="0" borderId="29" xfId="5" applyNumberFormat="1" applyFont="1" applyFill="1" applyBorder="1" applyAlignment="1" applyProtection="1">
      <alignment vertical="center"/>
    </xf>
    <xf numFmtId="37" fontId="12" fillId="0" borderId="8" xfId="5" applyNumberFormat="1" applyFont="1" applyFill="1" applyBorder="1" applyAlignment="1" applyProtection="1">
      <alignment vertical="center"/>
    </xf>
    <xf numFmtId="37" fontId="12" fillId="0" borderId="1" xfId="5" applyNumberFormat="1" applyFont="1" applyFill="1" applyBorder="1" applyAlignment="1" applyProtection="1">
      <alignment vertical="center"/>
    </xf>
    <xf numFmtId="37" fontId="12" fillId="0" borderId="1" xfId="5" applyNumberFormat="1" applyFont="1" applyFill="1" applyBorder="1" applyAlignment="1" applyProtection="1">
      <alignment vertical="center" shrinkToFit="1"/>
    </xf>
    <xf numFmtId="37" fontId="12" fillId="0" borderId="20" xfId="5" applyNumberFormat="1" applyFont="1" applyFill="1" applyBorder="1" applyAlignment="1" applyProtection="1">
      <alignment vertical="center"/>
    </xf>
    <xf numFmtId="37" fontId="12" fillId="0" borderId="9" xfId="5" applyNumberFormat="1" applyFont="1" applyFill="1" applyBorder="1" applyAlignment="1" applyProtection="1">
      <alignment vertical="center"/>
    </xf>
    <xf numFmtId="37" fontId="12" fillId="0" borderId="26" xfId="5" applyNumberFormat="1" applyFont="1" applyFill="1" applyBorder="1" applyAlignment="1" applyProtection="1">
      <alignment vertical="center" shrinkToFit="1"/>
    </xf>
    <xf numFmtId="37" fontId="12" fillId="0" borderId="25" xfId="5" applyNumberFormat="1" applyFont="1" applyFill="1" applyBorder="1" applyAlignment="1" applyProtection="1">
      <alignment vertical="center" shrinkToFit="1"/>
    </xf>
    <xf numFmtId="37" fontId="12" fillId="0" borderId="21" xfId="5" applyNumberFormat="1" applyFont="1" applyFill="1" applyBorder="1" applyAlignment="1" applyProtection="1">
      <alignment vertical="center" shrinkToFit="1"/>
    </xf>
    <xf numFmtId="37" fontId="12" fillId="0" borderId="35" xfId="5" applyNumberFormat="1" applyFont="1" applyFill="1" applyBorder="1" applyAlignment="1" applyProtection="1">
      <alignment vertical="center"/>
      <protection locked="0"/>
    </xf>
    <xf numFmtId="37" fontId="12" fillId="0" borderId="29" xfId="5" applyNumberFormat="1" applyFont="1" applyFill="1" applyBorder="1" applyAlignment="1" applyProtection="1">
      <alignment vertical="center"/>
      <protection locked="0"/>
    </xf>
    <xf numFmtId="37" fontId="13" fillId="0" borderId="0" xfId="7" applyNumberFormat="1" applyFont="1" applyFill="1" applyAlignment="1" applyProtection="1">
      <alignment vertical="center"/>
    </xf>
    <xf numFmtId="37" fontId="14" fillId="0" borderId="5" xfId="7" applyNumberFormat="1" applyFont="1" applyFill="1" applyBorder="1" applyAlignment="1" applyProtection="1">
      <alignment vertical="center"/>
    </xf>
    <xf numFmtId="37" fontId="15" fillId="0" borderId="0" xfId="7" applyNumberFormat="1" applyFont="1" applyFill="1" applyAlignment="1" applyProtection="1">
      <alignment vertical="center"/>
    </xf>
    <xf numFmtId="37" fontId="10" fillId="0" borderId="5" xfId="6" applyNumberFormat="1" applyFont="1" applyFill="1" applyBorder="1" applyAlignment="1" applyProtection="1">
      <alignment vertical="center"/>
    </xf>
    <xf numFmtId="37" fontId="11" fillId="0" borderId="6" xfId="6" applyNumberFormat="1" applyFont="1" applyFill="1" applyBorder="1" applyAlignment="1" applyProtection="1">
      <alignment horizontal="center" vertical="center"/>
    </xf>
    <xf numFmtId="37" fontId="11" fillId="0" borderId="7" xfId="6" applyNumberFormat="1" applyFont="1" applyFill="1" applyBorder="1" applyAlignment="1" applyProtection="1">
      <alignment horizontal="center" vertical="center"/>
    </xf>
    <xf numFmtId="178" fontId="12" fillId="0" borderId="36" xfId="6" applyNumberFormat="1" applyFont="1" applyFill="1" applyBorder="1" applyAlignment="1" applyProtection="1">
      <alignment vertical="center"/>
      <protection locked="0"/>
    </xf>
    <xf numFmtId="178" fontId="12" fillId="0" borderId="37" xfId="6" applyNumberFormat="1" applyFont="1" applyFill="1" applyBorder="1" applyAlignment="1" applyProtection="1">
      <alignment vertical="center"/>
      <protection locked="0"/>
    </xf>
    <xf numFmtId="178" fontId="12" fillId="0" borderId="37" xfId="6" applyNumberFormat="1" applyFont="1" applyFill="1" applyBorder="1" applyAlignment="1" applyProtection="1">
      <alignment vertical="center"/>
    </xf>
    <xf numFmtId="178" fontId="12" fillId="0" borderId="31" xfId="6" applyNumberFormat="1" applyFont="1" applyFill="1" applyBorder="1" applyAlignment="1" applyProtection="1">
      <alignment vertical="center"/>
    </xf>
    <xf numFmtId="178" fontId="12" fillId="0" borderId="35" xfId="6" applyNumberFormat="1" applyFont="1" applyFill="1" applyBorder="1" applyAlignment="1" applyProtection="1">
      <alignment vertical="center"/>
    </xf>
    <xf numFmtId="178" fontId="12" fillId="0" borderId="30" xfId="6" applyNumberFormat="1" applyFont="1" applyFill="1" applyBorder="1" applyAlignment="1" applyProtection="1">
      <alignment vertical="center"/>
      <protection locked="0"/>
    </xf>
    <xf numFmtId="178" fontId="12" fillId="0" borderId="31" xfId="6" applyNumberFormat="1" applyFont="1" applyFill="1" applyBorder="1" applyAlignment="1" applyProtection="1">
      <alignment vertical="center"/>
      <protection locked="0"/>
    </xf>
    <xf numFmtId="178" fontId="12" fillId="0" borderId="29" xfId="6" applyNumberFormat="1" applyFont="1" applyFill="1" applyBorder="1" applyAlignment="1" applyProtection="1">
      <alignment vertical="center"/>
    </xf>
    <xf numFmtId="178" fontId="12" fillId="0" borderId="8" xfId="6" applyNumberFormat="1" applyFont="1" applyFill="1" applyBorder="1" applyAlignment="1" applyProtection="1">
      <alignment vertical="center"/>
    </xf>
    <xf numFmtId="178" fontId="12" fillId="0" borderId="1" xfId="6" applyNumberFormat="1" applyFont="1" applyFill="1" applyBorder="1" applyAlignment="1" applyProtection="1">
      <alignment vertical="center"/>
    </xf>
    <xf numFmtId="178" fontId="12" fillId="0" borderId="1" xfId="6" applyNumberFormat="1" applyFont="1" applyFill="1" applyBorder="1" applyAlignment="1" applyProtection="1">
      <alignment vertical="center" shrinkToFit="1"/>
    </xf>
    <xf numFmtId="178" fontId="12" fillId="0" borderId="9" xfId="6" applyNumberFormat="1" applyFont="1" applyFill="1" applyBorder="1" applyAlignment="1" applyProtection="1">
      <alignment vertical="center"/>
    </xf>
    <xf numFmtId="178" fontId="12" fillId="0" borderId="41" xfId="6" applyNumberFormat="1" applyFont="1" applyFill="1" applyBorder="1" applyAlignment="1" applyProtection="1">
      <alignment vertical="center"/>
    </xf>
    <xf numFmtId="178" fontId="12" fillId="0" borderId="49" xfId="6" applyNumberFormat="1" applyFont="1" applyFill="1" applyBorder="1" applyAlignment="1" applyProtection="1">
      <alignment vertical="center"/>
    </xf>
    <xf numFmtId="178" fontId="12" fillId="0" borderId="26" xfId="6" applyNumberFormat="1" applyFont="1" applyFill="1" applyBorder="1" applyAlignment="1" applyProtection="1">
      <alignment vertical="center" shrinkToFit="1"/>
    </xf>
    <xf numFmtId="178" fontId="12" fillId="0" borderId="25" xfId="6" applyNumberFormat="1" applyFont="1" applyFill="1" applyBorder="1" applyAlignment="1" applyProtection="1">
      <alignment vertical="center" shrinkToFit="1"/>
    </xf>
    <xf numFmtId="178" fontId="12" fillId="0" borderId="21" xfId="6" applyNumberFormat="1" applyFont="1" applyFill="1" applyBorder="1" applyAlignment="1" applyProtection="1">
      <alignment vertical="center" shrinkToFit="1"/>
    </xf>
    <xf numFmtId="178" fontId="12" fillId="0" borderId="19" xfId="6" applyNumberFormat="1" applyFont="1" applyFill="1" applyBorder="1" applyAlignment="1" applyProtection="1">
      <alignment vertical="center"/>
    </xf>
    <xf numFmtId="37" fontId="11" fillId="0" borderId="11" xfId="4" applyNumberFormat="1" applyFont="1" applyFill="1" applyBorder="1" applyAlignment="1" applyProtection="1">
      <alignment horizontal="center" vertical="center"/>
    </xf>
    <xf numFmtId="37" fontId="8" fillId="0" borderId="11" xfId="0" applyNumberFormat="1" applyFont="1" applyFill="1" applyBorder="1" applyAlignment="1" applyProtection="1">
      <alignment horizontal="distributed" vertical="center"/>
    </xf>
    <xf numFmtId="37" fontId="8" fillId="0" borderId="11" xfId="0" applyNumberFormat="1" applyFont="1" applyFill="1" applyBorder="1" applyAlignment="1" applyProtection="1">
      <alignment horizontal="center" vertical="center" shrinkToFit="1"/>
    </xf>
    <xf numFmtId="37" fontId="4" fillId="0" borderId="0" xfId="5" applyNumberFormat="1" applyFont="1" applyFill="1" applyBorder="1" applyAlignment="1" applyProtection="1">
      <alignment horizontal="center" vertical="center"/>
    </xf>
    <xf numFmtId="37" fontId="4" fillId="0" borderId="0" xfId="7" applyNumberFormat="1" applyFont="1" applyFill="1" applyBorder="1" applyAlignment="1" applyProtection="1">
      <alignment horizontal="center" vertical="center"/>
    </xf>
    <xf numFmtId="37" fontId="8" fillId="0" borderId="11" xfId="0" applyNumberFormat="1" applyFont="1" applyFill="1" applyBorder="1" applyAlignment="1" applyProtection="1">
      <alignment horizontal="distributed" vertical="center" wrapText="1"/>
    </xf>
    <xf numFmtId="37" fontId="8" fillId="0" borderId="11" xfId="0" applyNumberFormat="1" applyFont="1" applyFill="1" applyBorder="1" applyAlignment="1" applyProtection="1">
      <alignment horizontal="center" vertical="center"/>
    </xf>
    <xf numFmtId="37" fontId="11" fillId="0" borderId="11" xfId="4" applyNumberFormat="1" applyFont="1" applyFill="1" applyBorder="1" applyAlignment="1" applyProtection="1">
      <alignment horizontal="center" vertical="center" justifyLastLine="1"/>
    </xf>
    <xf numFmtId="37" fontId="8" fillId="0" borderId="11" xfId="4" applyNumberFormat="1" applyFont="1" applyFill="1" applyBorder="1" applyAlignment="1" applyProtection="1">
      <alignment horizontal="center" vertical="center" justifyLastLine="1"/>
    </xf>
    <xf numFmtId="37" fontId="4" fillId="0" borderId="0" xfId="6" applyNumberFormat="1" applyFont="1" applyFill="1" applyBorder="1" applyAlignment="1" applyProtection="1">
      <alignment horizontal="center" vertical="center"/>
    </xf>
    <xf numFmtId="37" fontId="11" fillId="0" borderId="11" xfId="6" applyNumberFormat="1" applyFont="1" applyFill="1" applyBorder="1" applyAlignment="1" applyProtection="1">
      <alignment horizontal="center" vertical="center"/>
    </xf>
    <xf numFmtId="178" fontId="8" fillId="0" borderId="11" xfId="0" applyNumberFormat="1" applyFont="1" applyFill="1" applyBorder="1" applyAlignment="1" applyProtection="1">
      <alignment horizontal="center" vertical="center" shrinkToFit="1"/>
    </xf>
    <xf numFmtId="178" fontId="8" fillId="0" borderId="4" xfId="0" applyNumberFormat="1" applyFont="1" applyFill="1" applyBorder="1" applyAlignment="1" applyProtection="1">
      <alignment horizontal="center" vertical="center" shrinkToFit="1"/>
    </xf>
    <xf numFmtId="37" fontId="16" fillId="0" borderId="1" xfId="0" applyNumberFormat="1" applyFont="1" applyFill="1" applyBorder="1" applyAlignment="1" applyProtection="1">
      <alignment horizontal="distributed" vertical="center" wrapText="1"/>
    </xf>
    <xf numFmtId="176" fontId="3" fillId="2" borderId="0" xfId="0" applyFont="1" applyFill="1" applyAlignment="1">
      <alignment vertical="center"/>
    </xf>
    <xf numFmtId="37" fontId="3" fillId="2" borderId="0" xfId="0" applyNumberFormat="1" applyFont="1" applyFill="1" applyAlignment="1" applyProtection="1">
      <alignment vertical="center"/>
    </xf>
    <xf numFmtId="176" fontId="3" fillId="2" borderId="0" xfId="0" applyNumberFormat="1" applyFont="1" applyFill="1" applyAlignment="1" applyProtection="1">
      <alignment vertical="center"/>
    </xf>
    <xf numFmtId="37" fontId="8" fillId="2" borderId="35" xfId="0" applyNumberFormat="1" applyFont="1" applyFill="1" applyBorder="1" applyAlignment="1" applyProtection="1">
      <alignment horizontal="distributed" vertical="center"/>
    </xf>
    <xf numFmtId="37" fontId="8" fillId="2" borderId="40" xfId="0" applyNumberFormat="1" applyFont="1" applyFill="1" applyBorder="1" applyAlignment="1" applyProtection="1">
      <alignment horizontal="distributed" vertical="center"/>
    </xf>
    <xf numFmtId="176" fontId="17" fillId="2" borderId="0" xfId="0" applyFont="1" applyFill="1" applyAlignment="1">
      <alignment vertical="center"/>
    </xf>
    <xf numFmtId="37" fontId="17" fillId="2" borderId="0" xfId="0" applyNumberFormat="1" applyFont="1" applyFill="1" applyAlignment="1" applyProtection="1">
      <alignment vertical="center"/>
    </xf>
    <xf numFmtId="176" fontId="17" fillId="2" borderId="0" xfId="0" applyFont="1" applyFill="1" applyAlignment="1" applyProtection="1">
      <alignment vertical="center"/>
    </xf>
    <xf numFmtId="0" fontId="3" fillId="2" borderId="0" xfId="4" applyFont="1" applyFill="1" applyAlignment="1">
      <alignment vertical="center"/>
    </xf>
    <xf numFmtId="37" fontId="3" fillId="2" borderId="0" xfId="4" applyNumberFormat="1" applyFont="1" applyFill="1" applyAlignment="1" applyProtection="1">
      <alignment vertical="center"/>
    </xf>
    <xf numFmtId="37" fontId="3" fillId="2" borderId="0" xfId="4" applyNumberFormat="1" applyFont="1" applyFill="1" applyAlignment="1" applyProtection="1">
      <alignment horizontal="center" vertical="center"/>
    </xf>
    <xf numFmtId="37" fontId="5" fillId="2" borderId="0" xfId="4" applyNumberFormat="1" applyFont="1" applyFill="1" applyAlignment="1" applyProtection="1">
      <alignment vertical="center"/>
    </xf>
    <xf numFmtId="37" fontId="5" fillId="2" borderId="0" xfId="4" applyNumberFormat="1" applyFont="1" applyFill="1" applyAlignment="1" applyProtection="1">
      <alignment horizontal="center" vertical="center"/>
    </xf>
    <xf numFmtId="37" fontId="4" fillId="2" borderId="0" xfId="4" applyNumberFormat="1" applyFont="1" applyFill="1" applyAlignment="1" applyProtection="1">
      <alignment horizontal="center" vertical="center"/>
    </xf>
    <xf numFmtId="37" fontId="4" fillId="2" borderId="0" xfId="4" applyNumberFormat="1" applyFont="1" applyFill="1" applyBorder="1" applyAlignment="1" applyProtection="1">
      <alignment vertical="center"/>
    </xf>
    <xf numFmtId="37" fontId="3" fillId="2" borderId="0" xfId="4" applyNumberFormat="1" applyFont="1" applyFill="1" applyBorder="1" applyAlignment="1" applyProtection="1">
      <alignment vertical="center"/>
    </xf>
    <xf numFmtId="37" fontId="4" fillId="2" borderId="0" xfId="4" applyNumberFormat="1" applyFont="1" applyFill="1" applyBorder="1" applyAlignment="1" applyProtection="1">
      <alignment horizontal="center" vertical="center"/>
    </xf>
    <xf numFmtId="37" fontId="11" fillId="2" borderId="11" xfId="4" applyNumberFormat="1" applyFont="1" applyFill="1" applyBorder="1" applyAlignment="1" applyProtection="1">
      <alignment horizontal="center" vertical="center"/>
    </xf>
    <xf numFmtId="37" fontId="6" fillId="2" borderId="1" xfId="4" applyNumberFormat="1" applyFont="1" applyFill="1" applyBorder="1" applyAlignment="1" applyProtection="1">
      <alignment horizontal="center" vertical="center" shrinkToFit="1"/>
    </xf>
    <xf numFmtId="37" fontId="6" fillId="2" borderId="34" xfId="4" applyNumberFormat="1" applyFont="1" applyFill="1" applyBorder="1" applyAlignment="1" applyProtection="1">
      <alignment horizontal="center" vertical="center" shrinkToFit="1"/>
    </xf>
    <xf numFmtId="37" fontId="6" fillId="2" borderId="20" xfId="4" applyNumberFormat="1" applyFont="1" applyFill="1" applyBorder="1" applyAlignment="1" applyProtection="1">
      <alignment horizontal="center" vertical="center" shrinkToFit="1"/>
    </xf>
    <xf numFmtId="37" fontId="6" fillId="2" borderId="8" xfId="4" applyNumberFormat="1" applyFont="1" applyFill="1" applyBorder="1" applyAlignment="1" applyProtection="1">
      <alignment horizontal="center" vertical="center" shrinkToFit="1"/>
    </xf>
    <xf numFmtId="37" fontId="6" fillId="2" borderId="9" xfId="4" applyNumberFormat="1" applyFont="1" applyFill="1" applyBorder="1" applyAlignment="1" applyProtection="1">
      <alignment horizontal="center" vertical="center" shrinkToFit="1"/>
    </xf>
    <xf numFmtId="37" fontId="12" fillId="2" borderId="37" xfId="4" applyNumberFormat="1" applyFont="1" applyFill="1" applyBorder="1" applyAlignment="1" applyProtection="1">
      <alignment vertical="center"/>
      <protection locked="0"/>
    </xf>
    <xf numFmtId="37" fontId="12" fillId="2" borderId="37" xfId="4" applyNumberFormat="1" applyFont="1" applyFill="1" applyBorder="1" applyAlignment="1" applyProtection="1">
      <alignment vertical="center"/>
    </xf>
    <xf numFmtId="37" fontId="12" fillId="2" borderId="39" xfId="4" applyNumberFormat="1" applyFont="1" applyFill="1" applyBorder="1" applyAlignment="1" applyProtection="1">
      <alignment vertical="center"/>
    </xf>
    <xf numFmtId="37" fontId="12" fillId="2" borderId="36" xfId="4" applyNumberFormat="1" applyFont="1" applyFill="1" applyBorder="1" applyAlignment="1" applyProtection="1">
      <alignment vertical="center"/>
      <protection locked="0"/>
    </xf>
    <xf numFmtId="37" fontId="12" fillId="2" borderId="35" xfId="4" applyNumberFormat="1" applyFont="1" applyFill="1" applyBorder="1" applyAlignment="1" applyProtection="1">
      <alignment vertical="center"/>
      <protection locked="0"/>
    </xf>
    <xf numFmtId="37" fontId="8" fillId="2" borderId="11" xfId="0" applyNumberFormat="1" applyFont="1" applyFill="1" applyBorder="1" applyAlignment="1" applyProtection="1">
      <alignment horizontal="distributed" vertical="center"/>
    </xf>
    <xf numFmtId="37" fontId="12" fillId="2" borderId="35" xfId="4" applyNumberFormat="1" applyFont="1" applyFill="1" applyBorder="1" applyAlignment="1" applyProtection="1">
      <alignment vertical="center"/>
    </xf>
    <xf numFmtId="37" fontId="12" fillId="2" borderId="38" xfId="4" applyNumberFormat="1" applyFont="1" applyFill="1" applyBorder="1" applyAlignment="1" applyProtection="1">
      <alignment vertical="center"/>
      <protection locked="0"/>
    </xf>
    <xf numFmtId="37" fontId="12" fillId="2" borderId="38" xfId="4" applyNumberFormat="1" applyFont="1" applyFill="1" applyBorder="1" applyAlignment="1" applyProtection="1">
      <alignment vertical="center"/>
    </xf>
    <xf numFmtId="37" fontId="8" fillId="2" borderId="29" xfId="0" applyNumberFormat="1" applyFont="1" applyFill="1" applyBorder="1" applyAlignment="1" applyProtection="1">
      <alignment horizontal="distributed" vertical="center"/>
    </xf>
    <xf numFmtId="37" fontId="8" fillId="2" borderId="23" xfId="0" applyNumberFormat="1" applyFont="1" applyFill="1" applyBorder="1" applyAlignment="1" applyProtection="1">
      <alignment horizontal="distributed" vertical="center"/>
    </xf>
    <xf numFmtId="37" fontId="12" fillId="2" borderId="31" xfId="4" applyNumberFormat="1" applyFont="1" applyFill="1" applyBorder="1" applyAlignment="1" applyProtection="1">
      <alignment vertical="center"/>
      <protection locked="0"/>
    </xf>
    <xf numFmtId="37" fontId="12" fillId="2" borderId="31" xfId="4" applyNumberFormat="1" applyFont="1" applyFill="1" applyBorder="1" applyAlignment="1" applyProtection="1">
      <alignment vertical="center"/>
    </xf>
    <xf numFmtId="37" fontId="12" fillId="2" borderId="22" xfId="4" applyNumberFormat="1" applyFont="1" applyFill="1" applyBorder="1" applyAlignment="1" applyProtection="1">
      <alignment vertical="center"/>
    </xf>
    <xf numFmtId="37" fontId="12" fillId="2" borderId="30" xfId="4" applyNumberFormat="1" applyFont="1" applyFill="1" applyBorder="1" applyAlignment="1" applyProtection="1">
      <alignment vertical="center"/>
      <protection locked="0"/>
    </xf>
    <xf numFmtId="37" fontId="12" fillId="2" borderId="29" xfId="4" applyNumberFormat="1" applyFont="1" applyFill="1" applyBorder="1" applyAlignment="1" applyProtection="1">
      <alignment vertical="center"/>
      <protection locked="0"/>
    </xf>
    <xf numFmtId="37" fontId="12" fillId="2" borderId="29" xfId="4" applyNumberFormat="1" applyFont="1" applyFill="1" applyBorder="1" applyAlignment="1" applyProtection="1">
      <alignment vertical="center"/>
    </xf>
    <xf numFmtId="37" fontId="8" fillId="2" borderId="44" xfId="0" applyNumberFormat="1" applyFont="1" applyFill="1" applyBorder="1" applyAlignment="1" applyProtection="1">
      <alignment horizontal="distributed" vertical="center"/>
    </xf>
    <xf numFmtId="37" fontId="8" fillId="2" borderId="9" xfId="0" applyNumberFormat="1" applyFont="1" applyFill="1" applyBorder="1" applyAlignment="1" applyProtection="1">
      <alignment horizontal="distributed" vertical="center"/>
    </xf>
    <xf numFmtId="37" fontId="12" fillId="2" borderId="1" xfId="4" applyNumberFormat="1" applyFont="1" applyFill="1" applyBorder="1" applyAlignment="1" applyProtection="1">
      <alignment vertical="center"/>
    </xf>
    <xf numFmtId="37" fontId="12" fillId="2" borderId="20" xfId="4" applyNumberFormat="1" applyFont="1" applyFill="1" applyBorder="1" applyAlignment="1" applyProtection="1">
      <alignment vertical="center"/>
    </xf>
    <xf numFmtId="37" fontId="12" fillId="2" borderId="8" xfId="4" applyNumberFormat="1" applyFont="1" applyFill="1" applyBorder="1" applyAlignment="1" applyProtection="1">
      <alignment vertical="center"/>
    </xf>
    <xf numFmtId="37" fontId="12" fillId="2" borderId="9" xfId="4" applyNumberFormat="1" applyFont="1" applyFill="1" applyBorder="1" applyAlignment="1" applyProtection="1">
      <alignment vertical="center"/>
    </xf>
    <xf numFmtId="0" fontId="3" fillId="2" borderId="0" xfId="4" applyFont="1" applyFill="1" applyAlignment="1" applyProtection="1">
      <alignment vertical="center"/>
    </xf>
    <xf numFmtId="37" fontId="8" fillId="0" borderId="12" xfId="0" applyNumberFormat="1" applyFont="1" applyFill="1" applyBorder="1" applyAlignment="1" applyProtection="1">
      <alignment horizontal="center" vertical="center" shrinkToFit="1"/>
    </xf>
    <xf numFmtId="37" fontId="12" fillId="0" borderId="37" xfId="5" applyNumberFormat="1" applyFont="1" applyFill="1" applyBorder="1" applyAlignment="1" applyProtection="1">
      <alignment horizontal="center" vertical="center"/>
      <protection locked="0"/>
    </xf>
    <xf numFmtId="37" fontId="8" fillId="0" borderId="6" xfId="0" applyNumberFormat="1" applyFont="1" applyFill="1" applyBorder="1" applyAlignment="1" applyProtection="1">
      <alignment vertical="center"/>
    </xf>
    <xf numFmtId="0" fontId="3" fillId="0" borderId="0" xfId="7" applyFont="1" applyFill="1" applyBorder="1" applyAlignment="1">
      <alignment vertical="center"/>
    </xf>
    <xf numFmtId="178" fontId="8" fillId="0" borderId="6" xfId="0" applyNumberFormat="1" applyFont="1" applyFill="1" applyBorder="1" applyAlignment="1" applyProtection="1">
      <alignment vertical="center"/>
    </xf>
    <xf numFmtId="178" fontId="9" fillId="0" borderId="39" xfId="6" applyNumberFormat="1" applyFont="1" applyFill="1" applyBorder="1" applyAlignment="1" applyProtection="1">
      <alignment vertical="center"/>
    </xf>
    <xf numFmtId="178" fontId="9" fillId="0" borderId="37" xfId="6" applyNumberFormat="1" applyFont="1" applyFill="1" applyBorder="1" applyAlignment="1" applyProtection="1">
      <alignment vertical="center" shrinkToFit="1"/>
    </xf>
    <xf numFmtId="37" fontId="12" fillId="0" borderId="31" xfId="5" applyNumberFormat="1" applyFont="1" applyFill="1" applyBorder="1" applyAlignment="1" applyProtection="1">
      <alignment horizontal="center" vertical="center"/>
      <protection locked="0"/>
    </xf>
    <xf numFmtId="37" fontId="12" fillId="0" borderId="29" xfId="5" applyNumberFormat="1" applyFont="1" applyFill="1" applyBorder="1" applyAlignment="1" applyProtection="1">
      <alignment horizontal="center" vertical="center"/>
      <protection locked="0"/>
    </xf>
    <xf numFmtId="37" fontId="8" fillId="0" borderId="3" xfId="0" applyNumberFormat="1" applyFont="1" applyFill="1" applyBorder="1" applyAlignment="1" applyProtection="1">
      <alignment horizontal="center" vertical="center"/>
    </xf>
    <xf numFmtId="180" fontId="9" fillId="0" borderId="29" xfId="7" applyNumberFormat="1" applyFont="1" applyFill="1" applyBorder="1" applyAlignment="1" applyProtection="1">
      <alignment vertical="center"/>
    </xf>
    <xf numFmtId="178" fontId="8" fillId="0" borderId="3" xfId="0" applyNumberFormat="1" applyFont="1" applyFill="1" applyBorder="1" applyAlignment="1" applyProtection="1">
      <alignment horizontal="center" vertical="center"/>
    </xf>
    <xf numFmtId="178" fontId="12" fillId="0" borderId="41" xfId="6" applyNumberFormat="1" applyFont="1" applyFill="1" applyBorder="1" applyAlignment="1" applyProtection="1">
      <alignment vertical="center"/>
      <protection locked="0"/>
    </xf>
    <xf numFmtId="178" fontId="9" fillId="0" borderId="22" xfId="6" applyNumberFormat="1" applyFont="1" applyFill="1" applyBorder="1" applyAlignment="1" applyProtection="1">
      <alignment vertical="center"/>
    </xf>
    <xf numFmtId="178" fontId="9" fillId="0" borderId="31" xfId="6" applyNumberFormat="1" applyFont="1" applyFill="1" applyBorder="1" applyAlignment="1" applyProtection="1">
      <alignment vertical="center" shrinkToFit="1"/>
    </xf>
    <xf numFmtId="37" fontId="12" fillId="2" borderId="41" xfId="4" applyNumberFormat="1" applyFont="1" applyFill="1" applyBorder="1" applyAlignment="1" applyProtection="1">
      <alignment vertical="center"/>
    </xf>
    <xf numFmtId="37" fontId="12" fillId="2" borderId="41" xfId="4" applyNumberFormat="1" applyFont="1" applyFill="1" applyBorder="1" applyAlignment="1" applyProtection="1">
      <alignment vertical="center"/>
      <protection locked="0"/>
    </xf>
    <xf numFmtId="37" fontId="12" fillId="2" borderId="42" xfId="4" applyNumberFormat="1" applyFont="1" applyFill="1" applyBorder="1" applyAlignment="1" applyProtection="1">
      <alignment vertical="center"/>
      <protection locked="0"/>
    </xf>
    <xf numFmtId="37" fontId="9" fillId="0" borderId="46" xfId="7" applyNumberFormat="1" applyFont="1" applyFill="1" applyBorder="1" applyAlignment="1" applyProtection="1">
      <alignment vertical="center"/>
    </xf>
    <xf numFmtId="37" fontId="8" fillId="0" borderId="7" xfId="0" applyNumberFormat="1" applyFont="1" applyFill="1" applyBorder="1" applyAlignment="1" applyProtection="1">
      <alignment vertical="center"/>
    </xf>
    <xf numFmtId="180" fontId="9" fillId="0" borderId="9" xfId="7" applyNumberFormat="1" applyFont="1" applyFill="1" applyBorder="1" applyAlignment="1" applyProtection="1">
      <alignment vertical="center"/>
    </xf>
    <xf numFmtId="49" fontId="18" fillId="0" borderId="11" xfId="6" applyNumberFormat="1" applyFont="1" applyFill="1" applyBorder="1" applyAlignment="1">
      <alignment vertical="center" textRotation="180"/>
    </xf>
    <xf numFmtId="49" fontId="18" fillId="0" borderId="11" xfId="0" applyNumberFormat="1" applyFont="1" applyFill="1" applyBorder="1" applyAlignment="1" applyProtection="1">
      <alignment vertical="center" textRotation="180"/>
    </xf>
    <xf numFmtId="178" fontId="8" fillId="0" borderId="7" xfId="0" applyNumberFormat="1" applyFont="1" applyFill="1" applyBorder="1" applyAlignment="1" applyProtection="1">
      <alignment vertical="center"/>
    </xf>
    <xf numFmtId="178" fontId="12" fillId="0" borderId="45" xfId="6" applyNumberFormat="1" applyFont="1" applyFill="1" applyBorder="1" applyAlignment="1" applyProtection="1">
      <alignment vertical="center"/>
    </xf>
    <xf numFmtId="178" fontId="9" fillId="0" borderId="8" xfId="6" applyNumberFormat="1" applyFont="1" applyFill="1" applyBorder="1" applyAlignment="1" applyProtection="1">
      <alignment vertical="center"/>
    </xf>
    <xf numFmtId="178" fontId="9" fillId="0" borderId="1" xfId="6" applyNumberFormat="1" applyFont="1" applyFill="1" applyBorder="1" applyAlignment="1" applyProtection="1">
      <alignment vertical="center"/>
    </xf>
    <xf numFmtId="178" fontId="9" fillId="0" borderId="1" xfId="6" applyNumberFormat="1" applyFont="1" applyFill="1" applyBorder="1" applyAlignment="1" applyProtection="1">
      <alignment vertical="center" shrinkToFit="1"/>
    </xf>
    <xf numFmtId="178" fontId="9" fillId="0" borderId="20" xfId="6" applyNumberFormat="1" applyFont="1" applyFill="1" applyBorder="1" applyAlignment="1" applyProtection="1">
      <alignment vertical="center"/>
    </xf>
    <xf numFmtId="37" fontId="6" fillId="0" borderId="19" xfId="7" applyNumberFormat="1" applyFont="1" applyFill="1" applyBorder="1" applyAlignment="1" applyProtection="1">
      <alignment horizontal="center" vertical="center"/>
    </xf>
    <xf numFmtId="37" fontId="6" fillId="0" borderId="16" xfId="7" applyNumberFormat="1" applyFont="1" applyFill="1" applyBorder="1" applyAlignment="1" applyProtection="1">
      <alignment horizontal="center" vertical="center"/>
    </xf>
    <xf numFmtId="37" fontId="6" fillId="0" borderId="15" xfId="7" applyNumberFormat="1" applyFont="1" applyFill="1" applyBorder="1" applyAlignment="1" applyProtection="1">
      <alignment horizontal="center" vertical="center"/>
    </xf>
    <xf numFmtId="37" fontId="6" fillId="0" borderId="18" xfId="7" applyNumberFormat="1" applyFont="1" applyFill="1" applyBorder="1" applyAlignment="1" applyProtection="1">
      <alignment horizontal="center" vertical="center"/>
    </xf>
    <xf numFmtId="37" fontId="9" fillId="0" borderId="50" xfId="7" applyNumberFormat="1" applyFont="1" applyFill="1" applyBorder="1" applyAlignment="1" applyProtection="1">
      <alignment vertical="center"/>
      <protection locked="0"/>
    </xf>
    <xf numFmtId="37" fontId="9" fillId="0" borderId="37" xfId="7" applyNumberFormat="1" applyFont="1" applyFill="1" applyBorder="1" applyAlignment="1" applyProtection="1">
      <alignment vertical="center" shrinkToFit="1"/>
      <protection locked="0"/>
    </xf>
    <xf numFmtId="37" fontId="8" fillId="0" borderId="49" xfId="0" applyNumberFormat="1" applyFont="1" applyFill="1" applyBorder="1" applyAlignment="1" applyProtection="1">
      <alignment horizontal="distributed" vertical="center"/>
    </xf>
    <xf numFmtId="178" fontId="12" fillId="0" borderId="42" xfId="6" applyNumberFormat="1" applyFont="1" applyFill="1" applyBorder="1" applyAlignment="1" applyProtection="1">
      <alignment vertical="center"/>
      <protection locked="0"/>
    </xf>
    <xf numFmtId="37" fontId="8" fillId="0" borderId="70" xfId="0" applyNumberFormat="1" applyFont="1" applyFill="1" applyBorder="1" applyAlignment="1" applyProtection="1">
      <alignment horizontal="distributed" vertical="center"/>
    </xf>
    <xf numFmtId="178" fontId="9" fillId="0" borderId="42" xfId="6" applyNumberFormat="1" applyFont="1" applyFill="1" applyBorder="1" applyAlignment="1" applyProtection="1">
      <alignment vertical="center"/>
      <protection locked="0"/>
    </xf>
    <xf numFmtId="178" fontId="9" fillId="0" borderId="41" xfId="6" applyNumberFormat="1" applyFont="1" applyFill="1" applyBorder="1" applyAlignment="1" applyProtection="1">
      <alignment vertical="center"/>
      <protection locked="0"/>
    </xf>
    <xf numFmtId="178" fontId="9" fillId="0" borderId="41" xfId="6" applyNumberFormat="1" applyFont="1" applyFill="1" applyBorder="1" applyAlignment="1" applyProtection="1">
      <alignment vertical="center"/>
    </xf>
    <xf numFmtId="178" fontId="9" fillId="0" borderId="41" xfId="6" applyNumberFormat="1" applyFont="1" applyFill="1" applyBorder="1" applyAlignment="1" applyProtection="1">
      <alignment vertical="center" shrinkToFit="1"/>
      <protection locked="0"/>
    </xf>
    <xf numFmtId="178" fontId="9" fillId="0" borderId="43" xfId="6" applyNumberFormat="1" applyFont="1" applyFill="1" applyBorder="1" applyAlignment="1" applyProtection="1">
      <alignment vertical="center"/>
      <protection locked="0"/>
    </xf>
    <xf numFmtId="178" fontId="9" fillId="0" borderId="43" xfId="6" applyNumberFormat="1" applyFont="1" applyFill="1" applyBorder="1" applyAlignment="1" applyProtection="1">
      <alignment vertical="center"/>
    </xf>
    <xf numFmtId="178" fontId="9" fillId="0" borderId="41" xfId="6" applyNumberFormat="1" applyFont="1" applyFill="1" applyBorder="1" applyAlignment="1" applyProtection="1">
      <alignment vertical="center" shrinkToFit="1"/>
    </xf>
    <xf numFmtId="178" fontId="9" fillId="0" borderId="55" xfId="6" applyNumberFormat="1" applyFont="1" applyFill="1" applyBorder="1" applyAlignment="1" applyProtection="1">
      <alignment vertical="center"/>
    </xf>
    <xf numFmtId="0" fontId="3" fillId="0" borderId="0" xfId="6" applyFont="1" applyFill="1" applyAlignment="1" applyProtection="1">
      <alignment vertical="center"/>
      <protection locked="0"/>
    </xf>
    <xf numFmtId="37" fontId="12" fillId="2" borderId="31" xfId="4" applyNumberFormat="1" applyFont="1" applyFill="1" applyBorder="1" applyAlignment="1" applyProtection="1">
      <alignment horizontal="center" vertical="center"/>
      <protection locked="0"/>
    </xf>
    <xf numFmtId="37" fontId="9" fillId="0" borderId="29" xfId="7" applyNumberFormat="1" applyFont="1" applyFill="1" applyBorder="1" applyAlignment="1" applyProtection="1">
      <alignment vertical="center" shrinkToFit="1"/>
    </xf>
    <xf numFmtId="178" fontId="12" fillId="0" borderId="31" xfId="6" applyNumberFormat="1" applyFont="1" applyFill="1" applyBorder="1" applyAlignment="1" applyProtection="1">
      <alignment vertical="center" shrinkToFit="1"/>
      <protection locked="0"/>
    </xf>
    <xf numFmtId="37" fontId="12" fillId="0" borderId="30" xfId="5" applyNumberFormat="1" applyFont="1" applyFill="1" applyBorder="1" applyAlignment="1" applyProtection="1">
      <alignment horizontal="center" vertical="center"/>
      <protection locked="0"/>
    </xf>
    <xf numFmtId="37" fontId="9" fillId="0" borderId="52" xfId="7" applyNumberFormat="1" applyFont="1" applyFill="1" applyBorder="1" applyAlignment="1" applyProtection="1">
      <alignment vertical="center"/>
      <protection locked="0"/>
    </xf>
    <xf numFmtId="37" fontId="9" fillId="0" borderId="41" xfId="7" applyNumberFormat="1" applyFont="1" applyFill="1" applyBorder="1" applyAlignment="1" applyProtection="1">
      <alignment vertical="center"/>
      <protection locked="0"/>
    </xf>
    <xf numFmtId="180" fontId="9" fillId="0" borderId="43" xfId="7" applyNumberFormat="1" applyFont="1" applyFill="1" applyBorder="1" applyAlignment="1" applyProtection="1">
      <alignment vertical="center"/>
      <protection locked="0"/>
    </xf>
    <xf numFmtId="37" fontId="9" fillId="0" borderId="49" xfId="7" applyNumberFormat="1" applyFont="1" applyFill="1" applyBorder="1" applyAlignment="1" applyProtection="1">
      <alignment vertical="center"/>
    </xf>
    <xf numFmtId="37" fontId="9" fillId="0" borderId="31" xfId="7" applyNumberFormat="1" applyFont="1" applyFill="1" applyBorder="1" applyAlignment="1" applyProtection="1">
      <alignment vertical="center" shrinkToFit="1"/>
    </xf>
    <xf numFmtId="180" fontId="19" fillId="0" borderId="22" xfId="7" applyNumberFormat="1" applyFont="1" applyFill="1" applyBorder="1" applyAlignment="1" applyProtection="1">
      <alignment vertical="center"/>
      <protection locked="0"/>
    </xf>
    <xf numFmtId="0" fontId="3" fillId="2" borderId="0" xfId="4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37" fontId="8" fillId="2" borderId="45" xfId="0" applyNumberFormat="1" applyFont="1" applyFill="1" applyBorder="1" applyAlignment="1" applyProtection="1">
      <alignment horizontal="distributed" vertical="center"/>
    </xf>
    <xf numFmtId="37" fontId="12" fillId="2" borderId="19" xfId="4" applyNumberFormat="1" applyFont="1" applyFill="1" applyBorder="1" applyAlignment="1" applyProtection="1">
      <alignment vertical="center"/>
    </xf>
    <xf numFmtId="37" fontId="12" fillId="2" borderId="46" xfId="4" applyNumberFormat="1" applyFont="1" applyFill="1" applyBorder="1" applyAlignment="1" applyProtection="1">
      <alignment vertical="center"/>
    </xf>
    <xf numFmtId="37" fontId="12" fillId="2" borderId="18" xfId="4" applyNumberFormat="1" applyFont="1" applyFill="1" applyBorder="1" applyAlignment="1" applyProtection="1">
      <alignment vertical="center"/>
    </xf>
    <xf numFmtId="37" fontId="12" fillId="2" borderId="45" xfId="4" applyNumberFormat="1" applyFont="1" applyFill="1" applyBorder="1" applyAlignment="1" applyProtection="1">
      <alignment vertical="center"/>
    </xf>
    <xf numFmtId="37" fontId="8" fillId="2" borderId="4" xfId="0" applyNumberFormat="1" applyFont="1" applyFill="1" applyBorder="1" applyAlignment="1" applyProtection="1">
      <alignment horizontal="distributed" vertical="center"/>
    </xf>
    <xf numFmtId="0" fontId="3" fillId="2" borderId="0" xfId="4" applyFont="1" applyFill="1" applyAlignment="1">
      <alignment vertical="center" shrinkToFit="1"/>
    </xf>
    <xf numFmtId="37" fontId="12" fillId="2" borderId="25" xfId="4" applyNumberFormat="1" applyFont="1" applyFill="1" applyBorder="1" applyAlignment="1" applyProtection="1">
      <alignment vertical="center" shrinkToFit="1"/>
    </xf>
    <xf numFmtId="37" fontId="12" fillId="2" borderId="27" xfId="4" applyNumberFormat="1" applyFont="1" applyFill="1" applyBorder="1" applyAlignment="1" applyProtection="1">
      <alignment vertical="center" shrinkToFit="1"/>
    </xf>
    <xf numFmtId="37" fontId="12" fillId="2" borderId="26" xfId="4" applyNumberFormat="1" applyFont="1" applyFill="1" applyBorder="1" applyAlignment="1" applyProtection="1">
      <alignment vertical="center" shrinkToFit="1"/>
    </xf>
    <xf numFmtId="37" fontId="12" fillId="2" borderId="21" xfId="4" applyNumberFormat="1" applyFont="1" applyFill="1" applyBorder="1" applyAlignment="1" applyProtection="1">
      <alignment vertical="center" shrinkToFit="1"/>
    </xf>
    <xf numFmtId="37" fontId="8" fillId="2" borderId="2" xfId="0" applyNumberFormat="1" applyFont="1" applyFill="1" applyBorder="1" applyAlignment="1" applyProtection="1">
      <alignment horizontal="center" vertical="center" shrinkToFit="1"/>
    </xf>
    <xf numFmtId="37" fontId="8" fillId="2" borderId="11" xfId="0" applyNumberFormat="1" applyFont="1" applyFill="1" applyBorder="1" applyAlignment="1" applyProtection="1">
      <alignment horizontal="center" vertical="center" shrinkToFit="1"/>
    </xf>
    <xf numFmtId="37" fontId="3" fillId="2" borderId="0" xfId="4" applyNumberFormat="1" applyFont="1" applyFill="1" applyAlignment="1" applyProtection="1">
      <alignment vertical="center" shrinkToFit="1"/>
    </xf>
    <xf numFmtId="0" fontId="3" fillId="2" borderId="0" xfId="4" applyFont="1" applyFill="1" applyAlignment="1" applyProtection="1">
      <alignment vertical="center" shrinkToFit="1"/>
    </xf>
    <xf numFmtId="37" fontId="8" fillId="0" borderId="45" xfId="0" applyNumberFormat="1" applyFont="1" applyFill="1" applyBorder="1" applyAlignment="1" applyProtection="1">
      <alignment horizontal="distributed" vertical="center"/>
    </xf>
    <xf numFmtId="37" fontId="8" fillId="0" borderId="11" xfId="0" applyNumberFormat="1" applyFont="1" applyFill="1" applyBorder="1" applyAlignment="1" applyProtection="1">
      <alignment horizontal="distributed" vertical="center" shrinkToFit="1"/>
    </xf>
    <xf numFmtId="37" fontId="9" fillId="0" borderId="37" xfId="0" applyNumberFormat="1" applyFont="1" applyFill="1" applyBorder="1" applyAlignment="1" applyProtection="1">
      <alignment vertical="center"/>
      <protection locked="0"/>
    </xf>
    <xf numFmtId="37" fontId="9" fillId="0" borderId="31" xfId="0" applyNumberFormat="1" applyFont="1" applyFill="1" applyBorder="1" applyAlignment="1" applyProtection="1">
      <alignment vertical="center"/>
    </xf>
    <xf numFmtId="37" fontId="9" fillId="0" borderId="37" xfId="0" applyNumberFormat="1" applyFont="1" applyFill="1" applyBorder="1" applyAlignment="1" applyProtection="1">
      <alignment vertical="center"/>
    </xf>
    <xf numFmtId="179" fontId="9" fillId="0" borderId="37" xfId="0" applyNumberFormat="1" applyFont="1" applyFill="1" applyBorder="1" applyAlignment="1" applyProtection="1">
      <alignment vertical="center"/>
      <protection locked="0"/>
    </xf>
    <xf numFmtId="37" fontId="9" fillId="0" borderId="41" xfId="0" applyNumberFormat="1" applyFont="1" applyFill="1" applyBorder="1" applyAlignment="1" applyProtection="1">
      <alignment vertical="center"/>
      <protection locked="0"/>
    </xf>
    <xf numFmtId="37" fontId="9" fillId="0" borderId="31" xfId="0" applyNumberFormat="1" applyFont="1" applyFill="1" applyBorder="1" applyAlignment="1" applyProtection="1">
      <alignment vertical="center"/>
      <protection locked="0"/>
    </xf>
    <xf numFmtId="37" fontId="9" fillId="0" borderId="32" xfId="0" applyNumberFormat="1" applyFont="1" applyFill="1" applyBorder="1" applyAlignment="1" applyProtection="1">
      <alignment vertical="center"/>
    </xf>
    <xf numFmtId="179" fontId="9" fillId="0" borderId="31" xfId="0" applyNumberFormat="1" applyFont="1" applyFill="1" applyBorder="1" applyAlignment="1" applyProtection="1">
      <alignment vertical="center"/>
      <protection locked="0"/>
    </xf>
    <xf numFmtId="37" fontId="22" fillId="0" borderId="3" xfId="7" applyNumberFormat="1" applyFont="1" applyFill="1" applyBorder="1" applyAlignment="1" applyProtection="1">
      <alignment vertical="center"/>
    </xf>
    <xf numFmtId="37" fontId="9" fillId="0" borderId="56" xfId="7" applyNumberFormat="1" applyFont="1" applyFill="1" applyBorder="1" applyAlignment="1" applyProtection="1">
      <alignment horizontal="right" vertical="center"/>
      <protection locked="0"/>
    </xf>
    <xf numFmtId="37" fontId="9" fillId="0" borderId="31" xfId="7" applyNumberFormat="1" applyFont="1" applyFill="1" applyBorder="1" applyAlignment="1" applyProtection="1">
      <alignment horizontal="right" vertical="center"/>
      <protection locked="0"/>
    </xf>
    <xf numFmtId="37" fontId="9" fillId="0" borderId="51" xfId="7" applyNumberFormat="1" applyFont="1" applyFill="1" applyBorder="1" applyAlignment="1" applyProtection="1">
      <alignment vertical="center"/>
    </xf>
    <xf numFmtId="180" fontId="9" fillId="0" borderId="20" xfId="7" applyNumberFormat="1" applyFont="1" applyFill="1" applyBorder="1" applyAlignment="1" applyProtection="1">
      <alignment vertical="center" shrinkToFit="1"/>
    </xf>
    <xf numFmtId="37" fontId="9" fillId="0" borderId="1" xfId="7" applyNumberFormat="1" applyFont="1" applyFill="1" applyBorder="1" applyAlignment="1" applyProtection="1">
      <alignment horizontal="right" vertical="center"/>
    </xf>
    <xf numFmtId="37" fontId="9" fillId="0" borderId="48" xfId="7" applyNumberFormat="1" applyFont="1" applyFill="1" applyBorder="1" applyAlignment="1" applyProtection="1">
      <alignment vertical="center"/>
    </xf>
    <xf numFmtId="37" fontId="8" fillId="0" borderId="9" xfId="0" applyNumberFormat="1" applyFont="1" applyFill="1" applyBorder="1" applyAlignment="1" applyProtection="1">
      <alignment horizontal="distributed" vertical="center" shrinkToFit="1"/>
    </xf>
    <xf numFmtId="37" fontId="8" fillId="0" borderId="44" xfId="0" applyNumberFormat="1" applyFont="1" applyFill="1" applyBorder="1" applyAlignment="1" applyProtection="1">
      <alignment horizontal="distributed" vertical="center" shrinkToFit="1"/>
    </xf>
    <xf numFmtId="178" fontId="9" fillId="0" borderId="22" xfId="6" applyNumberFormat="1" applyFont="1" applyFill="1" applyBorder="1" applyAlignment="1" applyProtection="1">
      <alignment vertical="center" shrinkToFit="1"/>
    </xf>
    <xf numFmtId="178" fontId="9" fillId="0" borderId="15" xfId="6" applyNumberFormat="1" applyFont="1" applyFill="1" applyBorder="1" applyAlignment="1" applyProtection="1">
      <alignment vertical="center" shrinkToFit="1"/>
    </xf>
    <xf numFmtId="178" fontId="9" fillId="0" borderId="48" xfId="6" applyNumberFormat="1" applyFont="1" applyFill="1" applyBorder="1" applyAlignment="1" applyProtection="1">
      <alignment vertical="center" shrinkToFit="1"/>
    </xf>
    <xf numFmtId="37" fontId="12" fillId="0" borderId="37" xfId="4" applyNumberFormat="1" applyFont="1" applyFill="1" applyBorder="1" applyAlignment="1" applyProtection="1">
      <alignment vertical="center"/>
      <protection locked="0"/>
    </xf>
    <xf numFmtId="37" fontId="12" fillId="0" borderId="31" xfId="4" applyNumberFormat="1" applyFont="1" applyFill="1" applyBorder="1" applyAlignment="1" applyProtection="1">
      <alignment vertical="center"/>
      <protection locked="0"/>
    </xf>
    <xf numFmtId="37" fontId="12" fillId="0" borderId="1" xfId="4" applyNumberFormat="1" applyFont="1" applyFill="1" applyBorder="1" applyAlignment="1" applyProtection="1">
      <alignment vertical="center"/>
    </xf>
    <xf numFmtId="176" fontId="3" fillId="0" borderId="0" xfId="0" applyFont="1" applyFill="1" applyAlignment="1">
      <alignment vertical="center"/>
    </xf>
    <xf numFmtId="37" fontId="5" fillId="0" borderId="0" xfId="0" applyNumberFormat="1" applyFont="1" applyFill="1" applyAlignment="1" applyProtection="1">
      <alignment vertical="center"/>
    </xf>
    <xf numFmtId="176" fontId="5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7" fontId="9" fillId="0" borderId="36" xfId="0" applyNumberFormat="1" applyFont="1" applyFill="1" applyBorder="1" applyAlignment="1" applyProtection="1">
      <alignment horizontal="center" vertical="center"/>
    </xf>
    <xf numFmtId="176" fontId="9" fillId="0" borderId="37" xfId="0" applyNumberFormat="1" applyFont="1" applyFill="1" applyBorder="1" applyAlignment="1" applyProtection="1">
      <alignment vertical="center"/>
      <protection locked="0"/>
    </xf>
    <xf numFmtId="177" fontId="9" fillId="0" borderId="37" xfId="0" applyNumberFormat="1" applyFont="1" applyFill="1" applyBorder="1" applyAlignment="1" applyProtection="1">
      <alignment vertical="center"/>
      <protection locked="0"/>
    </xf>
    <xf numFmtId="177" fontId="9" fillId="0" borderId="31" xfId="0" applyNumberFormat="1" applyFont="1" applyFill="1" applyBorder="1" applyAlignment="1" applyProtection="1">
      <alignment vertical="center"/>
      <protection locked="0"/>
    </xf>
    <xf numFmtId="176" fontId="9" fillId="0" borderId="39" xfId="0" applyNumberFormat="1" applyFont="1" applyFill="1" applyBorder="1" applyAlignment="1" applyProtection="1">
      <alignment vertical="center"/>
    </xf>
    <xf numFmtId="37" fontId="9" fillId="0" borderId="35" xfId="4" applyNumberFormat="1" applyFont="1" applyFill="1" applyBorder="1" applyAlignment="1" applyProtection="1">
      <alignment horizontal="center" vertical="center"/>
    </xf>
    <xf numFmtId="37" fontId="9" fillId="0" borderId="30" xfId="0" applyNumberFormat="1" applyFont="1" applyFill="1" applyBorder="1" applyAlignment="1" applyProtection="1">
      <alignment horizontal="center" vertical="center"/>
    </xf>
    <xf numFmtId="176" fontId="9" fillId="0" borderId="31" xfId="0" applyNumberFormat="1" applyFont="1" applyFill="1" applyBorder="1" applyAlignment="1" applyProtection="1">
      <alignment vertical="center"/>
      <protection locked="0"/>
    </xf>
    <xf numFmtId="181" fontId="9" fillId="0" borderId="31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</xf>
    <xf numFmtId="37" fontId="9" fillId="0" borderId="29" xfId="4" applyNumberFormat="1" applyFont="1" applyFill="1" applyBorder="1" applyAlignment="1" applyProtection="1">
      <alignment horizontal="center" vertical="center"/>
    </xf>
    <xf numFmtId="37" fontId="9" fillId="0" borderId="8" xfId="0" applyNumberFormat="1" applyFont="1" applyFill="1" applyBorder="1" applyAlignment="1" applyProtection="1">
      <alignment vertical="center"/>
    </xf>
    <xf numFmtId="37" fontId="9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 applyProtection="1">
      <alignment vertical="center"/>
    </xf>
    <xf numFmtId="176" fontId="9" fillId="0" borderId="1" xfId="0" applyNumberFormat="1" applyFont="1" applyFill="1" applyBorder="1" applyAlignment="1" applyProtection="1">
      <alignment vertical="center" shrinkToFit="1"/>
    </xf>
    <xf numFmtId="176" fontId="9" fillId="0" borderId="20" xfId="0" applyNumberFormat="1" applyFont="1" applyFill="1" applyBorder="1" applyAlignment="1" applyProtection="1">
      <alignment vertical="center"/>
    </xf>
    <xf numFmtId="37" fontId="9" fillId="0" borderId="9" xfId="4" applyNumberFormat="1" applyFont="1" applyFill="1" applyBorder="1" applyAlignment="1" applyProtection="1">
      <alignment vertical="center"/>
    </xf>
    <xf numFmtId="37" fontId="9" fillId="0" borderId="38" xfId="0" applyNumberFormat="1" applyFont="1" applyFill="1" applyBorder="1" applyAlignment="1" applyProtection="1">
      <alignment vertical="center"/>
    </xf>
    <xf numFmtId="176" fontId="9" fillId="0" borderId="31" xfId="0" applyNumberFormat="1" applyFont="1" applyFill="1" applyBorder="1" applyAlignment="1" applyProtection="1">
      <alignment vertical="center" shrinkToFit="1"/>
      <protection locked="0"/>
    </xf>
    <xf numFmtId="37" fontId="9" fillId="0" borderId="68" xfId="0" applyNumberFormat="1" applyFont="1" applyFill="1" applyBorder="1" applyAlignment="1" applyProtection="1">
      <alignment vertical="center"/>
    </xf>
    <xf numFmtId="176" fontId="9" fillId="0" borderId="16" xfId="0" applyNumberFormat="1" applyFont="1" applyFill="1" applyBorder="1" applyAlignment="1" applyProtection="1">
      <alignment vertical="center"/>
    </xf>
    <xf numFmtId="176" fontId="9" fillId="0" borderId="22" xfId="0" applyNumberFormat="1" applyFont="1" applyFill="1" applyBorder="1" applyAlignment="1" applyProtection="1">
      <alignment vertical="center" shrinkToFit="1"/>
    </xf>
    <xf numFmtId="37" fontId="9" fillId="0" borderId="31" xfId="0" applyNumberFormat="1" applyFont="1" applyFill="1" applyBorder="1" applyAlignment="1" applyProtection="1">
      <alignment vertical="center" shrinkToFit="1"/>
      <protection locked="0"/>
    </xf>
    <xf numFmtId="179" fontId="9" fillId="0" borderId="31" xfId="0" applyNumberFormat="1" applyFont="1" applyFill="1" applyBorder="1" applyAlignment="1" applyProtection="1">
      <alignment vertical="center" shrinkToFit="1"/>
      <protection locked="0"/>
    </xf>
    <xf numFmtId="182" fontId="9" fillId="0" borderId="31" xfId="0" applyNumberFormat="1" applyFont="1" applyFill="1" applyBorder="1" applyAlignment="1" applyProtection="1">
      <alignment vertical="center" shrinkToFit="1"/>
      <protection locked="0"/>
    </xf>
    <xf numFmtId="176" fontId="9" fillId="0" borderId="16" xfId="0" applyNumberFormat="1" applyFont="1" applyFill="1" applyBorder="1" applyAlignment="1" applyProtection="1">
      <alignment vertical="center" shrinkToFit="1"/>
    </xf>
    <xf numFmtId="176" fontId="9" fillId="0" borderId="20" xfId="0" applyNumberFormat="1" applyFont="1" applyFill="1" applyBorder="1" applyAlignment="1" applyProtection="1">
      <alignment vertical="center" shrinkToFit="1"/>
    </xf>
    <xf numFmtId="37" fontId="9" fillId="0" borderId="26" xfId="0" applyNumberFormat="1" applyFont="1" applyFill="1" applyBorder="1" applyAlignment="1" applyProtection="1">
      <alignment vertical="center"/>
    </xf>
    <xf numFmtId="37" fontId="9" fillId="0" borderId="25" xfId="0" applyNumberFormat="1" applyFont="1" applyFill="1" applyBorder="1" applyAlignment="1" applyProtection="1">
      <alignment vertical="center"/>
    </xf>
    <xf numFmtId="176" fontId="9" fillId="0" borderId="25" xfId="0" applyNumberFormat="1" applyFont="1" applyFill="1" applyBorder="1" applyAlignment="1" applyProtection="1">
      <alignment vertical="center"/>
    </xf>
    <xf numFmtId="176" fontId="9" fillId="0" borderId="25" xfId="0" applyNumberFormat="1" applyFont="1" applyFill="1" applyBorder="1" applyAlignment="1" applyProtection="1">
      <alignment vertical="center" shrinkToFit="1"/>
    </xf>
    <xf numFmtId="176" fontId="9" fillId="0" borderId="27" xfId="0" applyNumberFormat="1" applyFont="1" applyFill="1" applyBorder="1" applyAlignment="1" applyProtection="1">
      <alignment vertical="center" shrinkToFit="1"/>
    </xf>
    <xf numFmtId="37" fontId="9" fillId="0" borderId="21" xfId="4" applyNumberFormat="1" applyFont="1" applyFill="1" applyBorder="1" applyAlignment="1" applyProtection="1">
      <alignment vertical="center"/>
    </xf>
    <xf numFmtId="37" fontId="12" fillId="0" borderId="36" xfId="4" applyNumberFormat="1" applyFont="1" applyFill="1" applyBorder="1" applyAlignment="1" applyProtection="1">
      <alignment vertical="center"/>
      <protection locked="0"/>
    </xf>
    <xf numFmtId="37" fontId="12" fillId="0" borderId="30" xfId="4" applyNumberFormat="1" applyFont="1" applyFill="1" applyBorder="1" applyAlignment="1" applyProtection="1">
      <alignment vertical="center"/>
      <protection locked="0"/>
    </xf>
    <xf numFmtId="37" fontId="12" fillId="0" borderId="8" xfId="4" applyNumberFormat="1" applyFont="1" applyFill="1" applyBorder="1" applyAlignment="1" applyProtection="1">
      <alignment vertical="center"/>
    </xf>
    <xf numFmtId="49" fontId="20" fillId="0" borderId="11" xfId="0" applyNumberFormat="1" applyFont="1" applyFill="1" applyBorder="1" applyAlignment="1">
      <alignment horizontal="center" vertical="center" textRotation="180"/>
    </xf>
    <xf numFmtId="37" fontId="8" fillId="0" borderId="61" xfId="0" applyNumberFormat="1" applyFont="1" applyFill="1" applyBorder="1" applyAlignment="1" applyProtection="1">
      <alignment horizontal="center" vertical="center"/>
    </xf>
    <xf numFmtId="37" fontId="8" fillId="0" borderId="28" xfId="0" applyNumberFormat="1" applyFont="1" applyFill="1" applyBorder="1" applyAlignment="1" applyProtection="1">
      <alignment horizontal="center" vertical="center"/>
    </xf>
    <xf numFmtId="37" fontId="8" fillId="0" borderId="59" xfId="0" applyNumberFormat="1" applyFont="1" applyFill="1" applyBorder="1" applyAlignment="1" applyProtection="1">
      <alignment horizontal="center" vertical="center" wrapText="1"/>
    </xf>
    <xf numFmtId="37" fontId="8" fillId="0" borderId="60" xfId="0" applyNumberFormat="1" applyFont="1" applyFill="1" applyBorder="1" applyAlignment="1" applyProtection="1">
      <alignment horizontal="center" vertical="center"/>
    </xf>
    <xf numFmtId="37" fontId="8" fillId="0" borderId="18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 wrapText="1"/>
    </xf>
    <xf numFmtId="37" fontId="6" fillId="0" borderId="33" xfId="0" applyNumberFormat="1" applyFont="1" applyFill="1" applyBorder="1" applyAlignment="1" applyProtection="1">
      <alignment horizontal="center" vertical="center"/>
    </xf>
    <xf numFmtId="37" fontId="6" fillId="0" borderId="19" xfId="0" applyNumberFormat="1" applyFont="1" applyFill="1" applyBorder="1" applyAlignment="1" applyProtection="1">
      <alignment horizontal="center" vertical="center"/>
    </xf>
    <xf numFmtId="37" fontId="8" fillId="0" borderId="37" xfId="0" applyNumberFormat="1" applyFont="1" applyFill="1" applyBorder="1" applyAlignment="1" applyProtection="1">
      <alignment horizontal="center" vertical="center"/>
    </xf>
    <xf numFmtId="37" fontId="8" fillId="0" borderId="39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/>
    </xf>
    <xf numFmtId="176" fontId="6" fillId="0" borderId="16" xfId="0" applyNumberFormat="1" applyFont="1" applyFill="1" applyBorder="1" applyAlignment="1" applyProtection="1">
      <alignment horizontal="center" vertical="center" wrapText="1"/>
    </xf>
    <xf numFmtId="176" fontId="6" fillId="0" borderId="33" xfId="0" applyNumberFormat="1" applyFont="1" applyFill="1" applyBorder="1" applyAlignment="1" applyProtection="1">
      <alignment horizontal="center" vertical="center"/>
    </xf>
    <xf numFmtId="176" fontId="6" fillId="0" borderId="19" xfId="0" applyNumberFormat="1" applyFont="1" applyFill="1" applyBorder="1" applyAlignment="1" applyProtection="1">
      <alignment horizontal="center" vertical="center"/>
    </xf>
    <xf numFmtId="37" fontId="6" fillId="0" borderId="33" xfId="0" applyNumberFormat="1" applyFont="1" applyFill="1" applyBorder="1" applyAlignment="1" applyProtection="1">
      <alignment horizontal="center" vertical="center" wrapText="1"/>
    </xf>
    <xf numFmtId="37" fontId="6" fillId="0" borderId="19" xfId="0" applyNumberFormat="1" applyFont="1" applyFill="1" applyBorder="1" applyAlignment="1" applyProtection="1">
      <alignment horizontal="center" vertical="center" wrapText="1"/>
    </xf>
    <xf numFmtId="37" fontId="8" fillId="0" borderId="14" xfId="0" applyNumberFormat="1" applyFont="1" applyFill="1" applyBorder="1" applyAlignment="1" applyProtection="1">
      <alignment horizontal="center" vertical="center"/>
    </xf>
    <xf numFmtId="37" fontId="8" fillId="0" borderId="17" xfId="0" applyNumberFormat="1" applyFont="1" applyFill="1" applyBorder="1" applyAlignment="1" applyProtection="1">
      <alignment horizontal="center" vertical="center"/>
    </xf>
    <xf numFmtId="37" fontId="8" fillId="0" borderId="4" xfId="0" applyNumberFormat="1" applyFont="1" applyFill="1" applyBorder="1" applyAlignment="1" applyProtection="1">
      <alignment horizontal="center" vertical="center"/>
    </xf>
    <xf numFmtId="37" fontId="8" fillId="0" borderId="10" xfId="0" applyNumberFormat="1" applyFont="1" applyFill="1" applyBorder="1" applyAlignment="1" applyProtection="1">
      <alignment horizontal="center" vertical="center"/>
    </xf>
    <xf numFmtId="37" fontId="8" fillId="0" borderId="57" xfId="0" applyNumberFormat="1" applyFont="1" applyFill="1" applyBorder="1" applyAlignment="1" applyProtection="1">
      <alignment horizontal="center" vertical="center"/>
    </xf>
    <xf numFmtId="37" fontId="8" fillId="0" borderId="45" xfId="0" applyNumberFormat="1" applyFont="1" applyFill="1" applyBorder="1" applyAlignment="1" applyProtection="1">
      <alignment horizontal="center" vertical="center"/>
    </xf>
    <xf numFmtId="49" fontId="20" fillId="2" borderId="11" xfId="4" applyNumberFormat="1" applyFont="1" applyFill="1" applyBorder="1" applyAlignment="1">
      <alignment horizontal="center" vertical="center" textRotation="180"/>
    </xf>
    <xf numFmtId="49" fontId="20" fillId="2" borderId="11" xfId="0" applyNumberFormat="1" applyFont="1" applyFill="1" applyBorder="1" applyAlignment="1" applyProtection="1">
      <alignment horizontal="center" vertical="center" textRotation="180"/>
    </xf>
    <xf numFmtId="37" fontId="11" fillId="2" borderId="31" xfId="4" applyNumberFormat="1" applyFont="1" applyFill="1" applyBorder="1" applyAlignment="1" applyProtection="1">
      <alignment horizontal="center" vertical="center"/>
    </xf>
    <xf numFmtId="37" fontId="11" fillId="2" borderId="10" xfId="4" applyNumberFormat="1" applyFont="1" applyFill="1" applyBorder="1" applyAlignment="1" applyProtection="1">
      <alignment horizontal="center" vertical="center"/>
    </xf>
    <xf numFmtId="37" fontId="11" fillId="2" borderId="57" xfId="4" applyNumberFormat="1" applyFont="1" applyFill="1" applyBorder="1" applyAlignment="1" applyProtection="1">
      <alignment horizontal="center" vertical="center"/>
    </xf>
    <xf numFmtId="37" fontId="11" fillId="2" borderId="45" xfId="4" applyNumberFormat="1" applyFont="1" applyFill="1" applyBorder="1" applyAlignment="1" applyProtection="1">
      <alignment horizontal="center" vertical="center"/>
    </xf>
    <xf numFmtId="37" fontId="11" fillId="2" borderId="36" xfId="4" applyNumberFormat="1" applyFont="1" applyFill="1" applyBorder="1" applyAlignment="1" applyProtection="1">
      <alignment horizontal="center" vertical="center"/>
    </xf>
    <xf numFmtId="37" fontId="11" fillId="2" borderId="37" xfId="4" applyNumberFormat="1" applyFont="1" applyFill="1" applyBorder="1" applyAlignment="1" applyProtection="1">
      <alignment horizontal="center" vertical="center"/>
    </xf>
    <xf numFmtId="37" fontId="11" fillId="2" borderId="39" xfId="4" applyNumberFormat="1" applyFont="1" applyFill="1" applyBorder="1" applyAlignment="1" applyProtection="1">
      <alignment horizontal="center" vertical="center"/>
    </xf>
    <xf numFmtId="37" fontId="8" fillId="2" borderId="59" xfId="0" applyNumberFormat="1" applyFont="1" applyFill="1" applyBorder="1" applyAlignment="1" applyProtection="1">
      <alignment horizontal="center" vertical="center" wrapText="1"/>
    </xf>
    <xf numFmtId="37" fontId="8" fillId="2" borderId="60" xfId="0" applyNumberFormat="1" applyFont="1" applyFill="1" applyBorder="1" applyAlignment="1" applyProtection="1">
      <alignment horizontal="center" vertical="center"/>
    </xf>
    <xf numFmtId="37" fontId="8" fillId="2" borderId="18" xfId="0" applyNumberFormat="1" applyFont="1" applyFill="1" applyBorder="1" applyAlignment="1" applyProtection="1">
      <alignment horizontal="center" vertical="center"/>
    </xf>
    <xf numFmtId="37" fontId="8" fillId="2" borderId="31" xfId="4" applyNumberFormat="1" applyFont="1" applyFill="1" applyBorder="1" applyAlignment="1" applyProtection="1">
      <alignment horizontal="center" vertical="center" shrinkToFit="1"/>
    </xf>
    <xf numFmtId="37" fontId="11" fillId="2" borderId="14" xfId="4" applyNumberFormat="1" applyFont="1" applyFill="1" applyBorder="1" applyAlignment="1" applyProtection="1">
      <alignment horizontal="center" vertical="center"/>
    </xf>
    <xf numFmtId="37" fontId="11" fillId="2" borderId="17" xfId="4" applyNumberFormat="1" applyFont="1" applyFill="1" applyBorder="1" applyAlignment="1" applyProtection="1">
      <alignment horizontal="center" vertical="center"/>
    </xf>
    <xf numFmtId="37" fontId="11" fillId="2" borderId="4" xfId="4" applyNumberFormat="1" applyFont="1" applyFill="1" applyBorder="1" applyAlignment="1" applyProtection="1">
      <alignment horizontal="center" vertical="center"/>
    </xf>
    <xf numFmtId="37" fontId="8" fillId="2" borderId="22" xfId="4" applyNumberFormat="1" applyFont="1" applyFill="1" applyBorder="1" applyAlignment="1" applyProtection="1">
      <alignment horizontal="center" vertical="center" shrinkToFit="1"/>
    </xf>
    <xf numFmtId="37" fontId="11" fillId="2" borderId="30" xfId="4" applyNumberFormat="1" applyFont="1" applyFill="1" applyBorder="1" applyAlignment="1" applyProtection="1">
      <alignment horizontal="center" vertical="center"/>
    </xf>
    <xf numFmtId="37" fontId="8" fillId="2" borderId="61" xfId="0" applyNumberFormat="1" applyFont="1" applyFill="1" applyBorder="1" applyAlignment="1" applyProtection="1">
      <alignment horizontal="center" vertical="center" shrinkToFit="1"/>
    </xf>
    <xf numFmtId="37" fontId="8" fillId="2" borderId="28" xfId="0" applyNumberFormat="1" applyFont="1" applyFill="1" applyBorder="1" applyAlignment="1" applyProtection="1">
      <alignment horizontal="center" vertical="center" shrinkToFit="1"/>
    </xf>
    <xf numFmtId="37" fontId="8" fillId="2" borderId="30" xfId="4" applyNumberFormat="1" applyFont="1" applyFill="1" applyBorder="1" applyAlignment="1" applyProtection="1">
      <alignment horizontal="center" vertical="center" shrinkToFit="1"/>
    </xf>
    <xf numFmtId="37" fontId="11" fillId="2" borderId="6" xfId="4" applyNumberFormat="1" applyFont="1" applyFill="1" applyBorder="1" applyAlignment="1" applyProtection="1">
      <alignment horizontal="center" vertical="center"/>
    </xf>
    <xf numFmtId="37" fontId="11" fillId="2" borderId="63" xfId="4" applyNumberFormat="1" applyFont="1" applyFill="1" applyBorder="1" applyAlignment="1" applyProtection="1">
      <alignment horizontal="center" vertical="center"/>
    </xf>
    <xf numFmtId="37" fontId="11" fillId="2" borderId="65" xfId="4" applyNumberFormat="1" applyFont="1" applyFill="1" applyBorder="1" applyAlignment="1" applyProtection="1">
      <alignment horizontal="center" vertical="center"/>
    </xf>
    <xf numFmtId="37" fontId="11" fillId="2" borderId="66" xfId="4" applyNumberFormat="1" applyFont="1" applyFill="1" applyBorder="1" applyAlignment="1" applyProtection="1">
      <alignment horizontal="center" vertical="center"/>
    </xf>
    <xf numFmtId="37" fontId="11" fillId="2" borderId="64" xfId="4" applyNumberFormat="1" applyFont="1" applyFill="1" applyBorder="1" applyAlignment="1" applyProtection="1">
      <alignment horizontal="center" vertical="center"/>
    </xf>
    <xf numFmtId="37" fontId="11" fillId="2" borderId="67" xfId="4" applyNumberFormat="1" applyFont="1" applyFill="1" applyBorder="1" applyAlignment="1" applyProtection="1">
      <alignment horizontal="center" vertical="center"/>
    </xf>
    <xf numFmtId="37" fontId="11" fillId="2" borderId="62" xfId="4" applyNumberFormat="1" applyFont="1" applyFill="1" applyBorder="1" applyAlignment="1" applyProtection="1">
      <alignment horizontal="center" vertical="center"/>
    </xf>
    <xf numFmtId="37" fontId="11" fillId="2" borderId="43" xfId="4" applyNumberFormat="1" applyFont="1" applyFill="1" applyBorder="1" applyAlignment="1" applyProtection="1">
      <alignment horizontal="center" vertical="center"/>
    </xf>
    <xf numFmtId="37" fontId="11" fillId="2" borderId="29" xfId="4" applyNumberFormat="1" applyFont="1" applyFill="1" applyBorder="1" applyAlignment="1" applyProtection="1">
      <alignment horizontal="center" vertical="center"/>
    </xf>
    <xf numFmtId="37" fontId="4" fillId="2" borderId="5" xfId="4" applyNumberFormat="1" applyFont="1" applyFill="1" applyBorder="1" applyAlignment="1" applyProtection="1">
      <alignment horizontal="center" vertical="center"/>
    </xf>
    <xf numFmtId="37" fontId="11" fillId="2" borderId="59" xfId="4" applyNumberFormat="1" applyFont="1" applyFill="1" applyBorder="1" applyAlignment="1" applyProtection="1">
      <alignment horizontal="center" vertical="center" wrapText="1"/>
    </xf>
    <xf numFmtId="37" fontId="11" fillId="2" borderId="60" xfId="4" applyNumberFormat="1" applyFont="1" applyFill="1" applyBorder="1" applyAlignment="1" applyProtection="1">
      <alignment horizontal="center" vertical="center"/>
    </xf>
    <xf numFmtId="37" fontId="11" fillId="2" borderId="18" xfId="4" applyNumberFormat="1" applyFont="1" applyFill="1" applyBorder="1" applyAlignment="1" applyProtection="1">
      <alignment horizontal="center" vertical="center"/>
    </xf>
    <xf numFmtId="37" fontId="11" fillId="2" borderId="35" xfId="4" applyNumberFormat="1" applyFont="1" applyFill="1" applyBorder="1" applyAlignment="1" applyProtection="1">
      <alignment horizontal="center" vertical="center"/>
    </xf>
    <xf numFmtId="37" fontId="11" fillId="2" borderId="13" xfId="4" applyNumberFormat="1" applyFont="1" applyFill="1" applyBorder="1" applyAlignment="1" applyProtection="1">
      <alignment horizontal="center" vertical="center"/>
    </xf>
    <xf numFmtId="37" fontId="11" fillId="2" borderId="55" xfId="4" applyNumberFormat="1" applyFont="1" applyFill="1" applyBorder="1" applyAlignment="1" applyProtection="1">
      <alignment horizontal="center" vertical="center"/>
    </xf>
    <xf numFmtId="37" fontId="11" fillId="2" borderId="22" xfId="4" applyNumberFormat="1" applyFont="1" applyFill="1" applyBorder="1" applyAlignment="1" applyProtection="1">
      <alignment horizontal="center" vertical="center"/>
    </xf>
    <xf numFmtId="49" fontId="20" fillId="0" borderId="11" xfId="5" applyNumberFormat="1" applyFont="1" applyFill="1" applyBorder="1" applyAlignment="1">
      <alignment horizontal="center" vertical="center" textRotation="180"/>
    </xf>
    <xf numFmtId="49" fontId="20" fillId="0" borderId="11" xfId="0" applyNumberFormat="1" applyFont="1" applyFill="1" applyBorder="1" applyAlignment="1" applyProtection="1">
      <alignment horizontal="center" vertical="center" textRotation="180"/>
    </xf>
    <xf numFmtId="37" fontId="8" fillId="0" borderId="61" xfId="0" applyNumberFormat="1" applyFont="1" applyFill="1" applyBorder="1" applyAlignment="1" applyProtection="1">
      <alignment horizontal="center" vertical="center" shrinkToFit="1"/>
    </xf>
    <xf numFmtId="37" fontId="8" fillId="0" borderId="28" xfId="0" applyNumberFormat="1" applyFont="1" applyFill="1" applyBorder="1" applyAlignment="1" applyProtection="1">
      <alignment horizontal="center" vertical="center" shrinkToFit="1"/>
    </xf>
    <xf numFmtId="37" fontId="11" fillId="0" borderId="6" xfId="5" applyNumberFormat="1" applyFont="1" applyFill="1" applyBorder="1" applyAlignment="1" applyProtection="1">
      <alignment horizontal="center" vertical="center"/>
    </xf>
    <xf numFmtId="37" fontId="11" fillId="0" borderId="63" xfId="5" applyNumberFormat="1" applyFont="1" applyFill="1" applyBorder="1" applyAlignment="1" applyProtection="1">
      <alignment horizontal="center" vertical="center"/>
    </xf>
    <xf numFmtId="37" fontId="8" fillId="0" borderId="16" xfId="5" applyNumberFormat="1" applyFont="1" applyFill="1" applyBorder="1" applyAlignment="1" applyProtection="1">
      <alignment horizontal="center" vertical="center"/>
    </xf>
    <xf numFmtId="37" fontId="8" fillId="0" borderId="19" xfId="5" applyNumberFormat="1" applyFont="1" applyFill="1" applyBorder="1" applyAlignment="1" applyProtection="1">
      <alignment horizontal="center" vertical="center"/>
    </xf>
    <xf numFmtId="37" fontId="11" fillId="0" borderId="10" xfId="5" applyNumberFormat="1" applyFont="1" applyFill="1" applyBorder="1" applyAlignment="1" applyProtection="1">
      <alignment horizontal="center" vertical="center"/>
    </xf>
    <xf numFmtId="37" fontId="11" fillId="0" borderId="57" xfId="5" applyNumberFormat="1" applyFont="1" applyFill="1" applyBorder="1" applyAlignment="1" applyProtection="1">
      <alignment horizontal="center" vertical="center"/>
    </xf>
    <xf numFmtId="37" fontId="11" fillId="0" borderId="45" xfId="5" applyNumberFormat="1" applyFont="1" applyFill="1" applyBorder="1" applyAlignment="1" applyProtection="1">
      <alignment horizontal="center" vertical="center"/>
    </xf>
    <xf numFmtId="37" fontId="6" fillId="0" borderId="16" xfId="5" applyNumberFormat="1" applyFont="1" applyFill="1" applyBorder="1" applyAlignment="1" applyProtection="1">
      <alignment horizontal="center" vertical="center" shrinkToFit="1"/>
    </xf>
    <xf numFmtId="37" fontId="6" fillId="0" borderId="19" xfId="5" applyNumberFormat="1" applyFont="1" applyFill="1" applyBorder="1" applyAlignment="1" applyProtection="1">
      <alignment horizontal="center" vertical="center" shrinkToFit="1"/>
    </xf>
    <xf numFmtId="37" fontId="4" fillId="0" borderId="5" xfId="4" applyNumberFormat="1" applyFont="1" applyFill="1" applyBorder="1" applyAlignment="1" applyProtection="1">
      <alignment horizontal="center" vertical="center"/>
    </xf>
    <xf numFmtId="37" fontId="11" fillId="0" borderId="59" xfId="5" applyNumberFormat="1" applyFont="1" applyFill="1" applyBorder="1" applyAlignment="1" applyProtection="1">
      <alignment horizontal="center" vertical="center" wrapText="1"/>
    </xf>
    <xf numFmtId="37" fontId="11" fillId="0" borderId="60" xfId="5" applyNumberFormat="1" applyFont="1" applyFill="1" applyBorder="1" applyAlignment="1" applyProtection="1">
      <alignment horizontal="center" vertical="center"/>
    </xf>
    <xf numFmtId="37" fontId="11" fillId="0" borderId="18" xfId="5" applyNumberFormat="1" applyFont="1" applyFill="1" applyBorder="1" applyAlignment="1" applyProtection="1">
      <alignment horizontal="center" vertical="center"/>
    </xf>
    <xf numFmtId="37" fontId="8" fillId="0" borderId="15" xfId="5" applyNumberFormat="1" applyFont="1" applyFill="1" applyBorder="1" applyAlignment="1" applyProtection="1">
      <alignment horizontal="center" vertical="center"/>
    </xf>
    <xf numFmtId="37" fontId="8" fillId="0" borderId="18" xfId="5" applyNumberFormat="1" applyFont="1" applyFill="1" applyBorder="1" applyAlignment="1" applyProtection="1">
      <alignment horizontal="center" vertical="center"/>
    </xf>
    <xf numFmtId="37" fontId="11" fillId="0" borderId="14" xfId="4" applyNumberFormat="1" applyFont="1" applyFill="1" applyBorder="1" applyAlignment="1" applyProtection="1">
      <alignment horizontal="center" vertical="center"/>
    </xf>
    <xf numFmtId="37" fontId="11" fillId="0" borderId="17" xfId="4" applyNumberFormat="1" applyFont="1" applyFill="1" applyBorder="1" applyAlignment="1" applyProtection="1">
      <alignment horizontal="center" vertical="center"/>
    </xf>
    <xf numFmtId="37" fontId="11" fillId="0" borderId="4" xfId="4" applyNumberFormat="1" applyFont="1" applyFill="1" applyBorder="1" applyAlignment="1" applyProtection="1">
      <alignment horizontal="center" vertical="center"/>
    </xf>
    <xf numFmtId="37" fontId="11" fillId="0" borderId="59" xfId="4" applyNumberFormat="1" applyFont="1" applyFill="1" applyBorder="1" applyAlignment="1" applyProtection="1">
      <alignment horizontal="center" vertical="center" wrapText="1"/>
    </xf>
    <xf numFmtId="37" fontId="11" fillId="0" borderId="60" xfId="4" applyNumberFormat="1" applyFont="1" applyFill="1" applyBorder="1" applyAlignment="1" applyProtection="1">
      <alignment horizontal="center" vertical="center"/>
    </xf>
    <xf numFmtId="37" fontId="11" fillId="0" borderId="18" xfId="4" applyNumberFormat="1" applyFont="1" applyFill="1" applyBorder="1" applyAlignment="1" applyProtection="1">
      <alignment horizontal="center" vertical="center"/>
    </xf>
    <xf numFmtId="37" fontId="8" fillId="0" borderId="30" xfId="5" applyNumberFormat="1" applyFont="1" applyFill="1" applyBorder="1" applyAlignment="1" applyProtection="1">
      <alignment horizontal="center" vertical="center"/>
    </xf>
    <xf numFmtId="37" fontId="8" fillId="0" borderId="31" xfId="5" applyNumberFormat="1" applyFont="1" applyFill="1" applyBorder="1" applyAlignment="1" applyProtection="1">
      <alignment horizontal="center" vertical="center"/>
    </xf>
    <xf numFmtId="37" fontId="11" fillId="0" borderId="62" xfId="5" applyNumberFormat="1" applyFont="1" applyFill="1" applyBorder="1" applyAlignment="1" applyProtection="1">
      <alignment horizontal="center" vertical="center"/>
    </xf>
    <xf numFmtId="37" fontId="8" fillId="0" borderId="22" xfId="5" applyNumberFormat="1" applyFont="1" applyFill="1" applyBorder="1" applyAlignment="1" applyProtection="1">
      <alignment horizontal="center" vertical="center"/>
    </xf>
    <xf numFmtId="37" fontId="4" fillId="0" borderId="5" xfId="5" applyNumberFormat="1" applyFont="1" applyFill="1" applyBorder="1" applyAlignment="1" applyProtection="1">
      <alignment horizontal="center" vertical="center"/>
    </xf>
    <xf numFmtId="37" fontId="11" fillId="0" borderId="10" xfId="4" applyNumberFormat="1" applyFont="1" applyFill="1" applyBorder="1" applyAlignment="1" applyProtection="1">
      <alignment horizontal="center" vertical="center"/>
    </xf>
    <xf numFmtId="37" fontId="11" fillId="0" borderId="57" xfId="4" applyNumberFormat="1" applyFont="1" applyFill="1" applyBorder="1" applyAlignment="1" applyProtection="1">
      <alignment horizontal="center" vertical="center"/>
    </xf>
    <xf numFmtId="37" fontId="11" fillId="0" borderId="45" xfId="4" applyNumberFormat="1" applyFont="1" applyFill="1" applyBorder="1" applyAlignment="1" applyProtection="1">
      <alignment horizontal="center" vertical="center"/>
    </xf>
    <xf numFmtId="37" fontId="11" fillId="0" borderId="39" xfId="5" applyNumberFormat="1" applyFont="1" applyFill="1" applyBorder="1" applyAlignment="1" applyProtection="1">
      <alignment horizontal="center" vertical="center"/>
    </xf>
    <xf numFmtId="37" fontId="11" fillId="0" borderId="53" xfId="5" applyNumberFormat="1" applyFont="1" applyFill="1" applyBorder="1" applyAlignment="1" applyProtection="1">
      <alignment horizontal="center" vertical="center"/>
    </xf>
    <xf numFmtId="37" fontId="8" fillId="0" borderId="16" xfId="5" applyNumberFormat="1" applyFont="1" applyFill="1" applyBorder="1" applyAlignment="1" applyProtection="1">
      <alignment horizontal="center" vertical="center" wrapText="1"/>
    </xf>
    <xf numFmtId="37" fontId="8" fillId="0" borderId="47" xfId="5" applyNumberFormat="1" applyFont="1" applyFill="1" applyBorder="1" applyAlignment="1" applyProtection="1">
      <alignment horizontal="center" vertical="center"/>
    </xf>
    <xf numFmtId="37" fontId="8" fillId="0" borderId="45" xfId="5" applyNumberFormat="1" applyFont="1" applyFill="1" applyBorder="1" applyAlignment="1" applyProtection="1">
      <alignment horizontal="center" vertical="center"/>
    </xf>
    <xf numFmtId="37" fontId="8" fillId="0" borderId="15" xfId="5" applyNumberFormat="1" applyFont="1" applyFill="1" applyBorder="1" applyAlignment="1" applyProtection="1">
      <alignment horizontal="center" vertical="center" wrapText="1"/>
    </xf>
    <xf numFmtId="37" fontId="11" fillId="0" borderId="58" xfId="5" applyNumberFormat="1" applyFont="1" applyFill="1" applyBorder="1" applyAlignment="1" applyProtection="1">
      <alignment horizontal="center" vertical="center"/>
    </xf>
    <xf numFmtId="37" fontId="11" fillId="0" borderId="33" xfId="5" applyNumberFormat="1" applyFont="1" applyFill="1" applyBorder="1" applyAlignment="1" applyProtection="1">
      <alignment horizontal="center" vertical="center"/>
    </xf>
    <xf numFmtId="49" fontId="21" fillId="0" borderId="11" xfId="7" applyNumberFormat="1" applyFont="1" applyFill="1" applyBorder="1" applyAlignment="1">
      <alignment horizontal="center" vertical="center" textRotation="180"/>
    </xf>
    <xf numFmtId="49" fontId="21" fillId="0" borderId="11" xfId="0" applyNumberFormat="1" applyFont="1" applyFill="1" applyBorder="1" applyAlignment="1" applyProtection="1">
      <alignment horizontal="center" vertical="center" textRotation="180"/>
    </xf>
    <xf numFmtId="49" fontId="21" fillId="0" borderId="11" xfId="0" applyNumberFormat="1" applyFont="1" applyFill="1" applyBorder="1" applyAlignment="1" applyProtection="1">
      <alignment horizontal="right" vertical="center" textRotation="180"/>
    </xf>
    <xf numFmtId="37" fontId="6" fillId="0" borderId="16" xfId="7" applyNumberFormat="1" applyFont="1" applyFill="1" applyBorder="1" applyAlignment="1" applyProtection="1">
      <alignment horizontal="center" vertical="center" wrapText="1"/>
    </xf>
    <xf numFmtId="37" fontId="6" fillId="0" borderId="19" xfId="7" applyNumberFormat="1" applyFont="1" applyFill="1" applyBorder="1" applyAlignment="1" applyProtection="1">
      <alignment horizontal="center" vertical="center"/>
    </xf>
    <xf numFmtId="37" fontId="11" fillId="0" borderId="10" xfId="4" applyNumberFormat="1" applyFont="1" applyFill="1" applyBorder="1" applyAlignment="1" applyProtection="1">
      <alignment horizontal="center" vertical="center" justifyLastLine="1"/>
    </xf>
    <xf numFmtId="37" fontId="11" fillId="0" borderId="57" xfId="4" applyNumberFormat="1" applyFont="1" applyFill="1" applyBorder="1" applyAlignment="1" applyProtection="1">
      <alignment horizontal="center" vertical="center" justifyLastLine="1"/>
    </xf>
    <xf numFmtId="37" fontId="11" fillId="0" borderId="45" xfId="4" applyNumberFormat="1" applyFont="1" applyFill="1" applyBorder="1" applyAlignment="1" applyProtection="1">
      <alignment horizontal="center" vertical="center" justifyLastLine="1"/>
    </xf>
    <xf numFmtId="37" fontId="8" fillId="0" borderId="14" xfId="4" applyNumberFormat="1" applyFont="1" applyFill="1" applyBorder="1" applyAlignment="1" applyProtection="1">
      <alignment horizontal="center" vertical="center" justifyLastLine="1"/>
    </xf>
    <xf numFmtId="37" fontId="8" fillId="0" borderId="17" xfId="4" applyNumberFormat="1" applyFont="1" applyFill="1" applyBorder="1" applyAlignment="1" applyProtection="1">
      <alignment horizontal="center" vertical="center" justifyLastLine="1"/>
    </xf>
    <xf numFmtId="37" fontId="8" fillId="0" borderId="4" xfId="4" applyNumberFormat="1" applyFont="1" applyFill="1" applyBorder="1" applyAlignment="1" applyProtection="1">
      <alignment horizontal="center" vertical="center" justifyLastLine="1"/>
    </xf>
    <xf numFmtId="37" fontId="6" fillId="0" borderId="16" xfId="7" applyNumberFormat="1" applyFont="1" applyFill="1" applyBorder="1" applyAlignment="1" applyProtection="1">
      <alignment horizontal="center" vertical="center"/>
    </xf>
    <xf numFmtId="37" fontId="6" fillId="0" borderId="19" xfId="7" applyNumberFormat="1" applyFont="1" applyFill="1" applyBorder="1" applyAlignment="1" applyProtection="1">
      <alignment horizontal="center" vertical="center" wrapText="1"/>
    </xf>
    <xf numFmtId="37" fontId="6" fillId="0" borderId="15" xfId="7" applyNumberFormat="1" applyFont="1" applyFill="1" applyBorder="1" applyAlignment="1" applyProtection="1">
      <alignment horizontal="center" vertical="center"/>
    </xf>
    <xf numFmtId="37" fontId="6" fillId="0" borderId="18" xfId="7" applyNumberFormat="1" applyFont="1" applyFill="1" applyBorder="1" applyAlignment="1" applyProtection="1">
      <alignment horizontal="center" vertical="center"/>
    </xf>
    <xf numFmtId="37" fontId="16" fillId="0" borderId="16" xfId="7" applyNumberFormat="1" applyFont="1" applyFill="1" applyBorder="1" applyAlignment="1" applyProtection="1">
      <alignment horizontal="center" vertical="center" wrapText="1"/>
    </xf>
    <xf numFmtId="37" fontId="16" fillId="0" borderId="19" xfId="7" applyNumberFormat="1" applyFont="1" applyFill="1" applyBorder="1" applyAlignment="1" applyProtection="1">
      <alignment horizontal="center" vertical="center"/>
    </xf>
    <xf numFmtId="37" fontId="8" fillId="0" borderId="59" xfId="4" applyNumberFormat="1" applyFont="1" applyFill="1" applyBorder="1" applyAlignment="1" applyProtection="1">
      <alignment horizontal="center" vertical="center" wrapText="1"/>
    </xf>
    <xf numFmtId="37" fontId="8" fillId="0" borderId="60" xfId="4" applyNumberFormat="1" applyFont="1" applyFill="1" applyBorder="1" applyAlignment="1" applyProtection="1">
      <alignment horizontal="center" vertical="center"/>
    </xf>
    <xf numFmtId="37" fontId="8" fillId="0" borderId="18" xfId="4" applyNumberFormat="1" applyFont="1" applyFill="1" applyBorder="1" applyAlignment="1" applyProtection="1">
      <alignment horizontal="center" vertical="center"/>
    </xf>
    <xf numFmtId="37" fontId="8" fillId="0" borderId="14" xfId="7" applyNumberFormat="1" applyFont="1" applyFill="1" applyBorder="1" applyAlignment="1" applyProtection="1">
      <alignment horizontal="center" vertical="center" wrapText="1"/>
    </xf>
    <xf numFmtId="37" fontId="8" fillId="0" borderId="17" xfId="7" applyNumberFormat="1" applyFont="1" applyFill="1" applyBorder="1" applyAlignment="1" applyProtection="1">
      <alignment horizontal="center" vertical="center"/>
    </xf>
    <xf numFmtId="37" fontId="8" fillId="0" borderId="4" xfId="7" applyNumberFormat="1" applyFont="1" applyFill="1" applyBorder="1" applyAlignment="1" applyProtection="1">
      <alignment horizontal="center" vertical="center"/>
    </xf>
    <xf numFmtId="37" fontId="11" fillId="0" borderId="69" xfId="7" applyNumberFormat="1" applyFont="1" applyFill="1" applyBorder="1" applyAlignment="1" applyProtection="1">
      <alignment horizontal="center" vertical="center"/>
    </xf>
    <xf numFmtId="37" fontId="11" fillId="0" borderId="50" xfId="7" applyNumberFormat="1" applyFont="1" applyFill="1" applyBorder="1" applyAlignment="1" applyProtection="1">
      <alignment horizontal="center" vertical="center"/>
    </xf>
    <xf numFmtId="37" fontId="11" fillId="0" borderId="53" xfId="7" applyNumberFormat="1" applyFont="1" applyFill="1" applyBorder="1" applyAlignment="1" applyProtection="1">
      <alignment horizontal="center" vertical="center"/>
    </xf>
    <xf numFmtId="37" fontId="6" fillId="0" borderId="48" xfId="7" applyNumberFormat="1" applyFont="1" applyFill="1" applyBorder="1" applyAlignment="1" applyProtection="1">
      <alignment horizontal="center" vertical="center"/>
    </xf>
    <xf numFmtId="37" fontId="6" fillId="0" borderId="68" xfId="7" applyNumberFormat="1" applyFont="1" applyFill="1" applyBorder="1" applyAlignment="1" applyProtection="1">
      <alignment horizontal="center" vertical="center"/>
    </xf>
    <xf numFmtId="37" fontId="4" fillId="0" borderId="5" xfId="7" applyNumberFormat="1" applyFont="1" applyFill="1" applyBorder="1" applyAlignment="1" applyProtection="1">
      <alignment horizontal="center" vertical="center"/>
    </xf>
    <xf numFmtId="180" fontId="6" fillId="0" borderId="58" xfId="3" applyNumberFormat="1" applyFont="1" applyFill="1" applyBorder="1" applyAlignment="1" applyProtection="1">
      <alignment horizontal="center" vertical="center" wrapText="1"/>
    </xf>
    <xf numFmtId="180" fontId="6" fillId="0" borderId="33" xfId="3" applyNumberFormat="1" applyFont="1" applyFill="1" applyBorder="1" applyAlignment="1" applyProtection="1">
      <alignment horizontal="center" vertical="center" wrapText="1"/>
    </xf>
    <xf numFmtId="180" fontId="6" fillId="0" borderId="19" xfId="3" applyNumberFormat="1" applyFont="1" applyFill="1" applyBorder="1" applyAlignment="1" applyProtection="1">
      <alignment horizontal="center" vertical="center" wrapText="1"/>
    </xf>
    <xf numFmtId="37" fontId="11" fillId="0" borderId="39" xfId="7" applyNumberFormat="1" applyFont="1" applyFill="1" applyBorder="1" applyAlignment="1" applyProtection="1">
      <alignment horizontal="center" vertical="center"/>
    </xf>
    <xf numFmtId="37" fontId="11" fillId="0" borderId="38" xfId="7" applyNumberFormat="1" applyFont="1" applyFill="1" applyBorder="1" applyAlignment="1" applyProtection="1">
      <alignment horizontal="center" vertical="center"/>
    </xf>
    <xf numFmtId="37" fontId="6" fillId="0" borderId="33" xfId="7" applyNumberFormat="1" applyFont="1" applyFill="1" applyBorder="1" applyAlignment="1" applyProtection="1">
      <alignment horizontal="center" vertical="center" wrapText="1"/>
    </xf>
    <xf numFmtId="37" fontId="8" fillId="0" borderId="69" xfId="7" applyNumberFormat="1" applyFont="1" applyFill="1" applyBorder="1" applyAlignment="1" applyProtection="1">
      <alignment horizontal="center" vertical="center"/>
    </xf>
    <xf numFmtId="37" fontId="8" fillId="0" borderId="50" xfId="7" applyNumberFormat="1" applyFont="1" applyFill="1" applyBorder="1" applyAlignment="1" applyProtection="1">
      <alignment horizontal="center" vertical="center"/>
    </xf>
    <xf numFmtId="37" fontId="11" fillId="0" borderId="14" xfId="4" applyNumberFormat="1" applyFont="1" applyFill="1" applyBorder="1" applyAlignment="1" applyProtection="1">
      <alignment horizontal="center" vertical="center" justifyLastLine="1"/>
    </xf>
    <xf numFmtId="37" fontId="11" fillId="0" borderId="17" xfId="4" applyNumberFormat="1" applyFont="1" applyFill="1" applyBorder="1" applyAlignment="1" applyProtection="1">
      <alignment horizontal="center" vertical="center" justifyLastLine="1"/>
    </xf>
    <xf numFmtId="37" fontId="11" fillId="0" borderId="4" xfId="4" applyNumberFormat="1" applyFont="1" applyFill="1" applyBorder="1" applyAlignment="1" applyProtection="1">
      <alignment horizontal="center" vertical="center" justifyLastLine="1"/>
    </xf>
    <xf numFmtId="37" fontId="6" fillId="0" borderId="16" xfId="8" applyNumberFormat="1" applyFont="1" applyFill="1" applyBorder="1" applyAlignment="1" applyProtection="1">
      <alignment horizontal="center" vertical="center" wrapText="1"/>
    </xf>
    <xf numFmtId="37" fontId="6" fillId="0" borderId="19" xfId="8" applyNumberFormat="1" applyFont="1" applyFill="1" applyBorder="1" applyAlignment="1" applyProtection="1">
      <alignment horizontal="center" vertical="center" wrapText="1"/>
    </xf>
    <xf numFmtId="176" fontId="2" fillId="0" borderId="68" xfId="0" applyFont="1" applyFill="1" applyBorder="1" applyAlignment="1">
      <alignment horizontal="center" vertical="center"/>
    </xf>
    <xf numFmtId="37" fontId="6" fillId="0" borderId="47" xfId="7" applyNumberFormat="1" applyFont="1" applyFill="1" applyBorder="1" applyAlignment="1" applyProtection="1">
      <alignment horizontal="center" vertical="center"/>
    </xf>
    <xf numFmtId="37" fontId="6" fillId="0" borderId="45" xfId="7" applyNumberFormat="1" applyFont="1" applyFill="1" applyBorder="1" applyAlignment="1" applyProtection="1">
      <alignment horizontal="center" vertical="center"/>
    </xf>
    <xf numFmtId="180" fontId="8" fillId="0" borderId="58" xfId="3" applyNumberFormat="1" applyFont="1" applyFill="1" applyBorder="1" applyAlignment="1" applyProtection="1">
      <alignment horizontal="center" vertical="center" wrapText="1"/>
    </xf>
    <xf numFmtId="180" fontId="8" fillId="0" borderId="33" xfId="3" applyNumberFormat="1" applyFont="1" applyFill="1" applyBorder="1" applyAlignment="1" applyProtection="1">
      <alignment horizontal="center" vertical="center" wrapText="1"/>
    </xf>
    <xf numFmtId="180" fontId="8" fillId="0" borderId="19" xfId="3" applyNumberFormat="1" applyFont="1" applyFill="1" applyBorder="1" applyAlignment="1" applyProtection="1">
      <alignment horizontal="center" vertical="center" wrapText="1"/>
    </xf>
    <xf numFmtId="37" fontId="8" fillId="0" borderId="10" xfId="7" applyNumberFormat="1" applyFont="1" applyFill="1" applyBorder="1" applyAlignment="1" applyProtection="1">
      <alignment horizontal="center" vertical="center"/>
    </xf>
    <xf numFmtId="37" fontId="8" fillId="0" borderId="57" xfId="7" applyNumberFormat="1" applyFont="1" applyFill="1" applyBorder="1" applyAlignment="1" applyProtection="1">
      <alignment horizontal="center" vertical="center"/>
    </xf>
    <xf numFmtId="37" fontId="8" fillId="0" borderId="45" xfId="7" applyNumberFormat="1" applyFont="1" applyFill="1" applyBorder="1" applyAlignment="1" applyProtection="1">
      <alignment horizontal="center" vertical="center"/>
    </xf>
    <xf numFmtId="37" fontId="11" fillId="0" borderId="10" xfId="5" applyNumberFormat="1" applyFont="1" applyFill="1" applyBorder="1" applyAlignment="1" applyProtection="1">
      <alignment horizontal="center" vertical="center" justifyLastLine="1"/>
    </xf>
    <xf numFmtId="37" fontId="11" fillId="0" borderId="57" xfId="5" applyNumberFormat="1" applyFont="1" applyFill="1" applyBorder="1" applyAlignment="1" applyProtection="1">
      <alignment horizontal="center" vertical="center" justifyLastLine="1"/>
    </xf>
    <xf numFmtId="37" fontId="11" fillId="0" borderId="45" xfId="5" applyNumberFormat="1" applyFont="1" applyFill="1" applyBorder="1" applyAlignment="1" applyProtection="1">
      <alignment horizontal="center" vertical="center" justifyLastLine="1"/>
    </xf>
    <xf numFmtId="37" fontId="6" fillId="0" borderId="22" xfId="7" applyNumberFormat="1" applyFont="1" applyFill="1" applyBorder="1" applyAlignment="1" applyProtection="1">
      <alignment horizontal="center" vertical="center"/>
    </xf>
    <xf numFmtId="37" fontId="6" fillId="0" borderId="52" xfId="7" applyNumberFormat="1" applyFont="1" applyFill="1" applyBorder="1" applyAlignment="1" applyProtection="1">
      <alignment horizontal="center" vertical="center"/>
    </xf>
    <xf numFmtId="37" fontId="6" fillId="0" borderId="32" xfId="7" applyNumberFormat="1" applyFont="1" applyFill="1" applyBorder="1" applyAlignment="1" applyProtection="1">
      <alignment horizontal="center" vertical="center"/>
    </xf>
    <xf numFmtId="37" fontId="11" fillId="0" borderId="37" xfId="7" applyNumberFormat="1" applyFont="1" applyFill="1" applyBorder="1" applyAlignment="1" applyProtection="1">
      <alignment horizontal="center" vertical="center"/>
    </xf>
    <xf numFmtId="37" fontId="7" fillId="0" borderId="16" xfId="7" applyNumberFormat="1" applyFont="1" applyFill="1" applyBorder="1" applyAlignment="1" applyProtection="1">
      <alignment horizontal="center" vertical="center" wrapText="1"/>
    </xf>
    <xf numFmtId="37" fontId="7" fillId="0" borderId="19" xfId="7" applyNumberFormat="1" applyFont="1" applyFill="1" applyBorder="1" applyAlignment="1" applyProtection="1">
      <alignment horizontal="center" vertical="center"/>
    </xf>
    <xf numFmtId="37" fontId="6" fillId="0" borderId="46" xfId="7" applyNumberFormat="1" applyFont="1" applyFill="1" applyBorder="1" applyAlignment="1" applyProtection="1">
      <alignment horizontal="center" vertical="center"/>
    </xf>
    <xf numFmtId="37" fontId="8" fillId="0" borderId="47" xfId="7" applyNumberFormat="1" applyFont="1" applyFill="1" applyBorder="1" applyAlignment="1" applyProtection="1">
      <alignment horizontal="center" vertical="center"/>
    </xf>
    <xf numFmtId="37" fontId="6" fillId="0" borderId="15" xfId="7" applyNumberFormat="1" applyFont="1" applyFill="1" applyBorder="1" applyAlignment="1" applyProtection="1">
      <alignment horizontal="center" vertical="center" wrapText="1"/>
    </xf>
    <xf numFmtId="37" fontId="8" fillId="0" borderId="36" xfId="7" applyNumberFormat="1" applyFont="1" applyFill="1" applyBorder="1" applyAlignment="1" applyProtection="1">
      <alignment horizontal="center" vertical="center"/>
    </xf>
    <xf numFmtId="37" fontId="8" fillId="0" borderId="37" xfId="7" applyNumberFormat="1" applyFont="1" applyFill="1" applyBorder="1" applyAlignment="1" applyProtection="1">
      <alignment horizontal="center" vertical="center"/>
    </xf>
    <xf numFmtId="37" fontId="8" fillId="0" borderId="10" xfId="4" applyNumberFormat="1" applyFont="1" applyFill="1" applyBorder="1" applyAlignment="1" applyProtection="1">
      <alignment horizontal="center" vertical="center" justifyLastLine="1"/>
    </xf>
    <xf numFmtId="37" fontId="8" fillId="0" borderId="57" xfId="4" applyNumberFormat="1" applyFont="1" applyFill="1" applyBorder="1" applyAlignment="1" applyProtection="1">
      <alignment horizontal="center" vertical="center" justifyLastLine="1"/>
    </xf>
    <xf numFmtId="37" fontId="8" fillId="0" borderId="45" xfId="4" applyNumberFormat="1" applyFont="1" applyFill="1" applyBorder="1" applyAlignment="1" applyProtection="1">
      <alignment horizontal="center" vertical="center" justifyLastLine="1"/>
    </xf>
    <xf numFmtId="37" fontId="8" fillId="0" borderId="35" xfId="7" applyNumberFormat="1" applyFont="1" applyFill="1" applyBorder="1" applyAlignment="1" applyProtection="1">
      <alignment horizontal="center" vertical="center"/>
    </xf>
    <xf numFmtId="37" fontId="11" fillId="0" borderId="35" xfId="7" applyNumberFormat="1" applyFont="1" applyFill="1" applyBorder="1" applyAlignment="1" applyProtection="1">
      <alignment horizontal="center" vertical="center"/>
    </xf>
    <xf numFmtId="37" fontId="8" fillId="0" borderId="30" xfId="7" applyNumberFormat="1" applyFont="1" applyFill="1" applyBorder="1" applyAlignment="1" applyProtection="1">
      <alignment horizontal="center" vertical="center"/>
    </xf>
    <xf numFmtId="37" fontId="8" fillId="0" borderId="31" xfId="7" applyNumberFormat="1" applyFont="1" applyFill="1" applyBorder="1" applyAlignment="1" applyProtection="1">
      <alignment horizontal="center" vertical="center"/>
    </xf>
    <xf numFmtId="37" fontId="8" fillId="0" borderId="22" xfId="7" applyNumberFormat="1" applyFont="1" applyFill="1" applyBorder="1" applyAlignment="1" applyProtection="1">
      <alignment horizontal="center" vertical="center"/>
    </xf>
    <xf numFmtId="37" fontId="11" fillId="0" borderId="37" xfId="6" applyNumberFormat="1" applyFont="1" applyFill="1" applyBorder="1" applyAlignment="1" applyProtection="1">
      <alignment horizontal="center" vertical="center"/>
    </xf>
    <xf numFmtId="49" fontId="20" fillId="0" borderId="11" xfId="6" applyNumberFormat="1" applyFont="1" applyFill="1" applyBorder="1" applyAlignment="1">
      <alignment horizontal="center" vertical="center" textRotation="180"/>
    </xf>
    <xf numFmtId="37" fontId="8" fillId="0" borderId="7" xfId="0" applyNumberFormat="1" applyFont="1" applyFill="1" applyBorder="1" applyAlignment="1" applyProtection="1">
      <alignment horizontal="center" vertical="center" shrinkToFit="1"/>
    </xf>
    <xf numFmtId="37" fontId="8" fillId="0" borderId="12" xfId="0" applyNumberFormat="1" applyFont="1" applyFill="1" applyBorder="1" applyAlignment="1" applyProtection="1">
      <alignment horizontal="center" vertical="center" shrinkToFit="1"/>
    </xf>
    <xf numFmtId="37" fontId="11" fillId="0" borderId="36" xfId="6" applyNumberFormat="1" applyFont="1" applyFill="1" applyBorder="1" applyAlignment="1" applyProtection="1">
      <alignment horizontal="center" vertical="center"/>
    </xf>
    <xf numFmtId="37" fontId="8" fillId="0" borderId="60" xfId="0" applyNumberFormat="1" applyFont="1" applyFill="1" applyBorder="1" applyAlignment="1" applyProtection="1">
      <alignment horizontal="center" vertical="center" wrapText="1"/>
    </xf>
    <xf numFmtId="37" fontId="11" fillId="0" borderId="10" xfId="6" applyNumberFormat="1" applyFont="1" applyFill="1" applyBorder="1" applyAlignment="1" applyProtection="1">
      <alignment horizontal="center" vertical="center"/>
    </xf>
    <xf numFmtId="37" fontId="11" fillId="0" borderId="45" xfId="6" applyNumberFormat="1" applyFont="1" applyFill="1" applyBorder="1" applyAlignment="1" applyProtection="1">
      <alignment horizontal="center" vertical="center"/>
    </xf>
    <xf numFmtId="37" fontId="4" fillId="0" borderId="5" xfId="6" applyNumberFormat="1" applyFont="1" applyFill="1" applyBorder="1" applyAlignment="1" applyProtection="1">
      <alignment horizontal="center" vertical="center"/>
    </xf>
    <xf numFmtId="37" fontId="8" fillId="0" borderId="58" xfId="6" applyNumberFormat="1" applyFont="1" applyFill="1" applyBorder="1" applyAlignment="1" applyProtection="1">
      <alignment horizontal="center" vertical="center" wrapText="1"/>
    </xf>
    <xf numFmtId="37" fontId="8" fillId="0" borderId="19" xfId="6" applyNumberFormat="1" applyFont="1" applyFill="1" applyBorder="1" applyAlignment="1" applyProtection="1">
      <alignment horizontal="center" vertical="center"/>
    </xf>
    <xf numFmtId="37" fontId="11" fillId="0" borderId="35" xfId="6" applyNumberFormat="1" applyFont="1" applyFill="1" applyBorder="1" applyAlignment="1" applyProtection="1">
      <alignment horizontal="center" vertical="center"/>
    </xf>
    <xf numFmtId="37" fontId="11" fillId="0" borderId="14" xfId="6" applyNumberFormat="1" applyFont="1" applyFill="1" applyBorder="1" applyAlignment="1" applyProtection="1">
      <alignment horizontal="center" vertical="center"/>
    </xf>
    <xf numFmtId="37" fontId="11" fillId="0" borderId="4" xfId="6" applyNumberFormat="1" applyFont="1" applyFill="1" applyBorder="1" applyAlignment="1" applyProtection="1">
      <alignment horizontal="center" vertical="center"/>
    </xf>
    <xf numFmtId="178" fontId="8" fillId="0" borderId="59" xfId="0" applyNumberFormat="1" applyFont="1" applyFill="1" applyBorder="1" applyAlignment="1" applyProtection="1">
      <alignment horizontal="center" vertical="center" wrapText="1"/>
    </xf>
    <xf numFmtId="178" fontId="8" fillId="0" borderId="60" xfId="0" applyNumberFormat="1" applyFont="1" applyFill="1" applyBorder="1" applyAlignment="1" applyProtection="1">
      <alignment horizontal="center" vertical="center"/>
    </xf>
    <xf numFmtId="178" fontId="8" fillId="0" borderId="18" xfId="0" applyNumberFormat="1" applyFont="1" applyFill="1" applyBorder="1" applyAlignment="1" applyProtection="1">
      <alignment horizontal="center" vertical="center"/>
    </xf>
    <xf numFmtId="180" fontId="8" fillId="0" borderId="58" xfId="2" applyNumberFormat="1" applyFont="1" applyFill="1" applyBorder="1" applyAlignment="1" applyProtection="1">
      <alignment horizontal="center" vertical="center" wrapText="1"/>
    </xf>
    <xf numFmtId="180" fontId="8" fillId="0" borderId="19" xfId="2" applyNumberFormat="1" applyFont="1" applyFill="1" applyBorder="1" applyAlignment="1" applyProtection="1">
      <alignment horizontal="center" vertical="center" wrapText="1"/>
    </xf>
    <xf numFmtId="180" fontId="8" fillId="0" borderId="10" xfId="2" applyNumberFormat="1" applyFont="1" applyFill="1" applyBorder="1" applyAlignment="1" applyProtection="1">
      <alignment horizontal="center" vertical="center" wrapText="1"/>
    </xf>
    <xf numFmtId="180" fontId="8" fillId="0" borderId="45" xfId="2" applyNumberFormat="1" applyFont="1" applyFill="1" applyBorder="1" applyAlignment="1" applyProtection="1">
      <alignment horizontal="center" vertical="center"/>
    </xf>
    <xf numFmtId="180" fontId="6" fillId="0" borderId="58" xfId="2" applyNumberFormat="1" applyFont="1" applyFill="1" applyBorder="1" applyAlignment="1" applyProtection="1">
      <alignment horizontal="center" vertical="center" wrapText="1"/>
    </xf>
    <xf numFmtId="180" fontId="6" fillId="0" borderId="19" xfId="2" applyNumberFormat="1" applyFont="1" applyFill="1" applyBorder="1" applyAlignment="1" applyProtection="1">
      <alignment horizontal="center" vertical="center"/>
    </xf>
    <xf numFmtId="180" fontId="8" fillId="0" borderId="19" xfId="2" applyNumberFormat="1" applyFont="1" applyFill="1" applyBorder="1" applyAlignment="1" applyProtection="1">
      <alignment horizontal="center" vertical="center"/>
    </xf>
    <xf numFmtId="180" fontId="6" fillId="0" borderId="19" xfId="2" applyNumberFormat="1" applyFont="1" applyFill="1" applyBorder="1" applyAlignment="1" applyProtection="1">
      <alignment horizontal="center" vertical="center" wrapText="1"/>
    </xf>
    <xf numFmtId="180" fontId="16" fillId="0" borderId="58" xfId="2" applyNumberFormat="1" applyFont="1" applyFill="1" applyBorder="1" applyAlignment="1" applyProtection="1">
      <alignment horizontal="center" vertical="center" wrapText="1"/>
    </xf>
    <xf numFmtId="180" fontId="16" fillId="0" borderId="19" xfId="2" applyNumberFormat="1" applyFont="1" applyFill="1" applyBorder="1" applyAlignment="1" applyProtection="1">
      <alignment horizontal="center" vertical="center" wrapText="1"/>
    </xf>
    <xf numFmtId="178" fontId="8" fillId="0" borderId="7" xfId="0" applyNumberFormat="1" applyFont="1" applyFill="1" applyBorder="1" applyAlignment="1" applyProtection="1">
      <alignment horizontal="center" vertical="center" shrinkToFit="1"/>
    </xf>
    <xf numFmtId="178" fontId="8" fillId="0" borderId="12" xfId="0" applyNumberFormat="1" applyFont="1" applyFill="1" applyBorder="1" applyAlignment="1" applyProtection="1">
      <alignment horizontal="center" vertical="center" shrinkToFit="1"/>
    </xf>
    <xf numFmtId="37" fontId="8" fillId="0" borderId="6" xfId="6" applyNumberFormat="1" applyFont="1" applyFill="1" applyBorder="1" applyAlignment="1" applyProtection="1">
      <alignment horizontal="center" vertical="center"/>
    </xf>
    <xf numFmtId="37" fontId="8" fillId="0" borderId="65" xfId="6" applyNumberFormat="1" applyFont="1" applyFill="1" applyBorder="1" applyAlignment="1" applyProtection="1">
      <alignment horizontal="center" vertical="center"/>
    </xf>
  </cellXfs>
  <cellStyles count="9">
    <cellStyle name="標準" xfId="0" builtinId="0"/>
    <cellStyle name="標準 2" xfId="1"/>
    <cellStyle name="標準_沿損益" xfId="2"/>
    <cellStyle name="標準_沿貸借" xfId="3"/>
    <cellStyle name="標準_加事１" xfId="4"/>
    <cellStyle name="標準_加事２" xfId="5"/>
    <cellStyle name="標準_加損益" xfId="6"/>
    <cellStyle name="標準_加貸借" xfId="7"/>
    <cellStyle name="標準_業貸借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0000"/>
  </sheetPr>
  <dimension ref="A1:AN23"/>
  <sheetViews>
    <sheetView view="pageLayout" zoomScale="115" zoomScaleNormal="115" zoomScalePageLayoutView="115" workbookViewId="0">
      <selection activeCell="K12" sqref="K12"/>
    </sheetView>
  </sheetViews>
  <sheetFormatPr defaultColWidth="12" defaultRowHeight="24.95" customHeight="1" x14ac:dyDescent="0.15"/>
  <cols>
    <col min="1" max="1" width="2.625" style="214" customWidth="1"/>
    <col min="2" max="2" width="3.5" style="214" customWidth="1"/>
    <col min="3" max="3" width="10.625" style="214" customWidth="1"/>
    <col min="4" max="4" width="7.875" style="214" customWidth="1"/>
    <col min="5" max="7" width="3.5" style="214" customWidth="1"/>
    <col min="8" max="12" width="3.125" style="214" customWidth="1"/>
    <col min="13" max="23" width="3.375" style="214" customWidth="1"/>
    <col min="24" max="24" width="3.75" style="214" customWidth="1"/>
    <col min="25" max="25" width="8.875" style="214" customWidth="1"/>
    <col min="26" max="26" width="10.625" style="214" customWidth="1"/>
    <col min="27" max="27" width="5.625" style="214" customWidth="1"/>
    <col min="28" max="30" width="6.625" style="214" customWidth="1"/>
    <col min="31" max="32" width="5.625" style="214" customWidth="1"/>
    <col min="33" max="33" width="6.625" style="214" customWidth="1"/>
    <col min="34" max="35" width="5.625" style="214" customWidth="1"/>
    <col min="36" max="36" width="6.625" style="214" customWidth="1"/>
    <col min="37" max="37" width="2.625" style="214" customWidth="1"/>
    <col min="38" max="38" width="4.625" style="214" customWidth="1"/>
    <col min="39" max="40" width="10.625" style="214" customWidth="1"/>
    <col min="41" max="16384" width="12" style="214"/>
  </cols>
  <sheetData>
    <row r="1" spans="1:40" ht="18" customHeight="1" x14ac:dyDescent="0.15">
      <c r="A1" s="360"/>
      <c r="B1" s="361" t="s">
        <v>166</v>
      </c>
      <c r="C1" s="362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3"/>
      <c r="Y1" s="363"/>
      <c r="Z1" s="363"/>
      <c r="AA1" s="215"/>
    </row>
    <row r="2" spans="1:40" ht="15.75" customHeight="1" x14ac:dyDescent="0.15">
      <c r="A2" s="360"/>
      <c r="B2" s="404" t="s">
        <v>53</v>
      </c>
      <c r="C2" s="421" t="s">
        <v>115</v>
      </c>
      <c r="D2" s="404" t="s">
        <v>222</v>
      </c>
      <c r="E2" s="410" t="s">
        <v>96</v>
      </c>
      <c r="F2" s="410"/>
      <c r="G2" s="410"/>
      <c r="H2" s="410" t="s">
        <v>97</v>
      </c>
      <c r="I2" s="410"/>
      <c r="J2" s="410"/>
      <c r="K2" s="410"/>
      <c r="L2" s="410"/>
      <c r="M2" s="410" t="s">
        <v>98</v>
      </c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1"/>
      <c r="Y2" s="421" t="s">
        <v>99</v>
      </c>
      <c r="Z2" s="418" t="s">
        <v>115</v>
      </c>
      <c r="AA2" s="215"/>
    </row>
    <row r="3" spans="1:40" ht="13.5" customHeight="1" x14ac:dyDescent="0.15">
      <c r="A3" s="360"/>
      <c r="B3" s="405"/>
      <c r="C3" s="422"/>
      <c r="D3" s="405"/>
      <c r="E3" s="407" t="s">
        <v>219</v>
      </c>
      <c r="F3" s="407" t="s">
        <v>220</v>
      </c>
      <c r="G3" s="412" t="s">
        <v>114</v>
      </c>
      <c r="H3" s="407" t="s">
        <v>100</v>
      </c>
      <c r="I3" s="407" t="s">
        <v>101</v>
      </c>
      <c r="J3" s="407" t="s">
        <v>223</v>
      </c>
      <c r="K3" s="407" t="s">
        <v>102</v>
      </c>
      <c r="L3" s="407" t="s">
        <v>221</v>
      </c>
      <c r="M3" s="407" t="s">
        <v>103</v>
      </c>
      <c r="N3" s="413" t="s">
        <v>104</v>
      </c>
      <c r="O3" s="413" t="s">
        <v>105</v>
      </c>
      <c r="P3" s="413" t="s">
        <v>106</v>
      </c>
      <c r="Q3" s="413" t="s">
        <v>107</v>
      </c>
      <c r="R3" s="413" t="s">
        <v>108</v>
      </c>
      <c r="S3" s="413" t="s">
        <v>109</v>
      </c>
      <c r="T3" s="413" t="s">
        <v>110</v>
      </c>
      <c r="U3" s="413" t="s">
        <v>111</v>
      </c>
      <c r="V3" s="413" t="s">
        <v>112</v>
      </c>
      <c r="W3" s="413" t="s">
        <v>113</v>
      </c>
      <c r="X3" s="412" t="s">
        <v>2</v>
      </c>
      <c r="Y3" s="422"/>
      <c r="Z3" s="419"/>
      <c r="AA3" s="215"/>
    </row>
    <row r="4" spans="1:40" ht="13.5" customHeight="1" x14ac:dyDescent="0.15">
      <c r="A4" s="360"/>
      <c r="B4" s="405"/>
      <c r="C4" s="422"/>
      <c r="D4" s="405"/>
      <c r="E4" s="408"/>
      <c r="F4" s="408"/>
      <c r="G4" s="408"/>
      <c r="H4" s="408"/>
      <c r="I4" s="408"/>
      <c r="J4" s="416"/>
      <c r="K4" s="408"/>
      <c r="L4" s="408"/>
      <c r="M4" s="408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08"/>
      <c r="Y4" s="422"/>
      <c r="Z4" s="419"/>
      <c r="AA4" s="215"/>
    </row>
    <row r="5" spans="1:40" ht="13.5" customHeight="1" x14ac:dyDescent="0.15">
      <c r="A5" s="360"/>
      <c r="B5" s="405"/>
      <c r="C5" s="422"/>
      <c r="D5" s="405"/>
      <c r="E5" s="408"/>
      <c r="F5" s="408"/>
      <c r="G5" s="408"/>
      <c r="H5" s="408"/>
      <c r="I5" s="408"/>
      <c r="J5" s="416"/>
      <c r="K5" s="408"/>
      <c r="L5" s="408"/>
      <c r="M5" s="408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08"/>
      <c r="Y5" s="422"/>
      <c r="Z5" s="419"/>
      <c r="AA5" s="215"/>
    </row>
    <row r="6" spans="1:40" ht="13.5" customHeight="1" x14ac:dyDescent="0.15">
      <c r="A6" s="360"/>
      <c r="B6" s="405"/>
      <c r="C6" s="422"/>
      <c r="D6" s="405"/>
      <c r="E6" s="408"/>
      <c r="F6" s="408"/>
      <c r="G6" s="408"/>
      <c r="H6" s="408"/>
      <c r="I6" s="408"/>
      <c r="J6" s="416"/>
      <c r="K6" s="408"/>
      <c r="L6" s="408"/>
      <c r="M6" s="408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08"/>
      <c r="Y6" s="422"/>
      <c r="Z6" s="419"/>
      <c r="AA6" s="215"/>
    </row>
    <row r="7" spans="1:40" ht="13.5" customHeight="1" x14ac:dyDescent="0.15">
      <c r="A7" s="360"/>
      <c r="B7" s="406"/>
      <c r="C7" s="423"/>
      <c r="D7" s="406"/>
      <c r="E7" s="409"/>
      <c r="F7" s="409"/>
      <c r="G7" s="409"/>
      <c r="H7" s="409"/>
      <c r="I7" s="409"/>
      <c r="J7" s="417"/>
      <c r="K7" s="409"/>
      <c r="L7" s="409"/>
      <c r="M7" s="409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09"/>
      <c r="Y7" s="423"/>
      <c r="Z7" s="420"/>
      <c r="AA7" s="215"/>
    </row>
    <row r="8" spans="1:40" ht="24.75" customHeight="1" x14ac:dyDescent="0.15">
      <c r="A8" s="360"/>
      <c r="B8" s="404" t="s">
        <v>79</v>
      </c>
      <c r="C8" s="57" t="s">
        <v>4</v>
      </c>
      <c r="D8" s="365" t="s">
        <v>180</v>
      </c>
      <c r="E8" s="337">
        <v>11</v>
      </c>
      <c r="F8" s="337">
        <v>26</v>
      </c>
      <c r="G8" s="339">
        <f t="shared" ref="G8:G15" si="0">(E8+F8)</f>
        <v>37</v>
      </c>
      <c r="H8" s="337">
        <v>1</v>
      </c>
      <c r="I8" s="337"/>
      <c r="J8" s="337">
        <v>4</v>
      </c>
      <c r="K8" s="337">
        <v>2</v>
      </c>
      <c r="L8" s="339">
        <f>((H8+J8)+K8)</f>
        <v>7</v>
      </c>
      <c r="M8" s="366"/>
      <c r="N8" s="337"/>
      <c r="O8" s="367">
        <v>0.25</v>
      </c>
      <c r="P8" s="367">
        <v>0.25</v>
      </c>
      <c r="Q8" s="367">
        <v>0.25</v>
      </c>
      <c r="R8" s="368"/>
      <c r="S8" s="367"/>
      <c r="T8" s="337"/>
      <c r="U8" s="337"/>
      <c r="V8" s="368">
        <v>2.25</v>
      </c>
      <c r="W8" s="367">
        <v>2</v>
      </c>
      <c r="X8" s="369">
        <f>SUM(M8:W8)</f>
        <v>5</v>
      </c>
      <c r="Y8" s="370" t="s">
        <v>116</v>
      </c>
      <c r="Z8" s="133" t="s">
        <v>4</v>
      </c>
      <c r="AA8" s="215"/>
    </row>
    <row r="9" spans="1:40" ht="24.75" customHeight="1" x14ac:dyDescent="0.15">
      <c r="A9" s="360"/>
      <c r="B9" s="405"/>
      <c r="C9" s="58" t="s">
        <v>245</v>
      </c>
      <c r="D9" s="371" t="s">
        <v>246</v>
      </c>
      <c r="E9" s="342"/>
      <c r="F9" s="342">
        <v>20</v>
      </c>
      <c r="G9" s="338">
        <f t="shared" si="0"/>
        <v>20</v>
      </c>
      <c r="H9" s="342">
        <v>3</v>
      </c>
      <c r="I9" s="342">
        <v>1</v>
      </c>
      <c r="J9" s="342">
        <v>2</v>
      </c>
      <c r="K9" s="342">
        <v>2</v>
      </c>
      <c r="L9" s="338">
        <f>((H9+J9)+K9)</f>
        <v>7</v>
      </c>
      <c r="M9" s="372"/>
      <c r="N9" s="342"/>
      <c r="O9" s="373"/>
      <c r="P9" s="342"/>
      <c r="Q9" s="368"/>
      <c r="R9" s="368">
        <v>0.5</v>
      </c>
      <c r="S9" s="368">
        <v>5</v>
      </c>
      <c r="T9" s="342"/>
      <c r="U9" s="342"/>
      <c r="V9" s="342"/>
      <c r="W9" s="368">
        <v>1.5</v>
      </c>
      <c r="X9" s="374">
        <f>SUM(M9:W9)</f>
        <v>7</v>
      </c>
      <c r="Y9" s="375" t="s">
        <v>11</v>
      </c>
      <c r="Z9" s="134" t="s">
        <v>5</v>
      </c>
      <c r="AA9" s="215"/>
    </row>
    <row r="10" spans="1:40" ht="24.75" customHeight="1" x14ac:dyDescent="0.15">
      <c r="A10" s="360"/>
      <c r="B10" s="405"/>
      <c r="C10" s="81" t="s">
        <v>249</v>
      </c>
      <c r="D10" s="371" t="s">
        <v>250</v>
      </c>
      <c r="E10" s="342">
        <v>6</v>
      </c>
      <c r="F10" s="342">
        <v>31</v>
      </c>
      <c r="G10" s="338">
        <f t="shared" si="0"/>
        <v>37</v>
      </c>
      <c r="H10" s="342">
        <v>2</v>
      </c>
      <c r="I10" s="342">
        <v>1</v>
      </c>
      <c r="J10" s="342">
        <v>5</v>
      </c>
      <c r="K10" s="342">
        <v>2</v>
      </c>
      <c r="L10" s="338">
        <f>((H10+J10)+K10)</f>
        <v>9</v>
      </c>
      <c r="M10" s="372"/>
      <c r="N10" s="342"/>
      <c r="O10" s="342"/>
      <c r="P10" s="342"/>
      <c r="Q10" s="342"/>
      <c r="R10" s="342"/>
      <c r="S10" s="342"/>
      <c r="T10" s="368">
        <v>9</v>
      </c>
      <c r="U10" s="342"/>
      <c r="V10" s="368"/>
      <c r="W10" s="368">
        <v>2</v>
      </c>
      <c r="X10" s="374">
        <f>SUM(M10:W10)</f>
        <v>11</v>
      </c>
      <c r="Y10" s="375" t="s">
        <v>11</v>
      </c>
      <c r="Z10" s="135" t="s">
        <v>249</v>
      </c>
      <c r="AA10" s="215"/>
    </row>
    <row r="11" spans="1:40" s="219" customFormat="1" ht="24.75" customHeight="1" x14ac:dyDescent="0.15">
      <c r="A11" s="360"/>
      <c r="B11" s="406"/>
      <c r="C11" s="59" t="s">
        <v>7</v>
      </c>
      <c r="D11" s="376"/>
      <c r="E11" s="377">
        <f>SUM(E8:E10)</f>
        <v>17</v>
      </c>
      <c r="F11" s="377">
        <f>SUM(F8:F10)</f>
        <v>77</v>
      </c>
      <c r="G11" s="377">
        <f t="shared" si="0"/>
        <v>94</v>
      </c>
      <c r="H11" s="377">
        <f t="shared" ref="H11:X11" si="1">SUM(H8:H10)</f>
        <v>6</v>
      </c>
      <c r="I11" s="377">
        <f t="shared" si="1"/>
        <v>2</v>
      </c>
      <c r="J11" s="377">
        <f t="shared" si="1"/>
        <v>11</v>
      </c>
      <c r="K11" s="377">
        <f t="shared" si="1"/>
        <v>6</v>
      </c>
      <c r="L11" s="377">
        <f t="shared" si="1"/>
        <v>23</v>
      </c>
      <c r="M11" s="378">
        <f t="shared" si="1"/>
        <v>0</v>
      </c>
      <c r="N11" s="378">
        <f t="shared" si="1"/>
        <v>0</v>
      </c>
      <c r="O11" s="378">
        <f t="shared" si="1"/>
        <v>0.25</v>
      </c>
      <c r="P11" s="378">
        <f t="shared" si="1"/>
        <v>0.25</v>
      </c>
      <c r="Q11" s="378">
        <f t="shared" si="1"/>
        <v>0.25</v>
      </c>
      <c r="R11" s="378">
        <f t="shared" si="1"/>
        <v>0.5</v>
      </c>
      <c r="S11" s="379">
        <f t="shared" si="1"/>
        <v>5</v>
      </c>
      <c r="T11" s="378">
        <f t="shared" si="1"/>
        <v>9</v>
      </c>
      <c r="U11" s="378">
        <f t="shared" si="1"/>
        <v>0</v>
      </c>
      <c r="V11" s="378">
        <f t="shared" si="1"/>
        <v>2.25</v>
      </c>
      <c r="W11" s="378">
        <f t="shared" si="1"/>
        <v>5.5</v>
      </c>
      <c r="X11" s="380">
        <f t="shared" si="1"/>
        <v>23</v>
      </c>
      <c r="Y11" s="381"/>
      <c r="Z11" s="136" t="s">
        <v>7</v>
      </c>
      <c r="AA11" s="220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</row>
    <row r="12" spans="1:40" ht="24.75" customHeight="1" x14ac:dyDescent="0.15">
      <c r="A12" s="360"/>
      <c r="B12" s="404" t="s">
        <v>83</v>
      </c>
      <c r="C12" s="57" t="s">
        <v>8</v>
      </c>
      <c r="D12" s="365" t="s">
        <v>181</v>
      </c>
      <c r="E12" s="337">
        <v>4</v>
      </c>
      <c r="F12" s="337">
        <v>23</v>
      </c>
      <c r="G12" s="339">
        <f t="shared" si="0"/>
        <v>27</v>
      </c>
      <c r="H12" s="337">
        <v>1</v>
      </c>
      <c r="I12" s="337"/>
      <c r="J12" s="337">
        <v>3</v>
      </c>
      <c r="K12" s="337">
        <v>2</v>
      </c>
      <c r="L12" s="382">
        <f>((H12+J12)+K12)</f>
        <v>6</v>
      </c>
      <c r="M12" s="366">
        <v>1</v>
      </c>
      <c r="N12" s="337"/>
      <c r="O12" s="366"/>
      <c r="P12" s="366">
        <v>0.2</v>
      </c>
      <c r="Q12" s="366">
        <v>0.5</v>
      </c>
      <c r="R12" s="366"/>
      <c r="S12" s="366"/>
      <c r="T12" s="366"/>
      <c r="U12" s="366">
        <v>0.3</v>
      </c>
      <c r="V12" s="366">
        <v>2.5</v>
      </c>
      <c r="W12" s="366">
        <v>1.5</v>
      </c>
      <c r="X12" s="369">
        <f>SUM(M12:W12)</f>
        <v>6</v>
      </c>
      <c r="Y12" s="370" t="s">
        <v>253</v>
      </c>
      <c r="Z12" s="133" t="s">
        <v>8</v>
      </c>
      <c r="AA12" s="215"/>
    </row>
    <row r="13" spans="1:40" ht="24.75" customHeight="1" x14ac:dyDescent="0.15">
      <c r="A13" s="401" t="s">
        <v>319</v>
      </c>
      <c r="B13" s="405"/>
      <c r="C13" s="58" t="s">
        <v>328</v>
      </c>
      <c r="D13" s="371" t="s">
        <v>182</v>
      </c>
      <c r="E13" s="342">
        <v>3</v>
      </c>
      <c r="F13" s="342">
        <v>26</v>
      </c>
      <c r="G13" s="338">
        <f t="shared" si="0"/>
        <v>29</v>
      </c>
      <c r="H13" s="342">
        <v>1</v>
      </c>
      <c r="I13" s="342">
        <v>1</v>
      </c>
      <c r="J13" s="342">
        <v>4</v>
      </c>
      <c r="K13" s="342">
        <v>2</v>
      </c>
      <c r="L13" s="343">
        <f>((H13+J13)+K13)</f>
        <v>7</v>
      </c>
      <c r="M13" s="368">
        <v>1</v>
      </c>
      <c r="N13" s="368"/>
      <c r="O13" s="372" t="s">
        <v>117</v>
      </c>
      <c r="P13" s="372"/>
      <c r="Q13" s="372"/>
      <c r="R13" s="372"/>
      <c r="S13" s="372">
        <v>4</v>
      </c>
      <c r="T13" s="372"/>
      <c r="U13" s="372"/>
      <c r="V13" s="372"/>
      <c r="W13" s="372">
        <v>1</v>
      </c>
      <c r="X13" s="374">
        <f>SUM(M13:W13)</f>
        <v>6</v>
      </c>
      <c r="Y13" s="375" t="s">
        <v>11</v>
      </c>
      <c r="Z13" s="134" t="s">
        <v>10</v>
      </c>
      <c r="AA13" s="215"/>
    </row>
    <row r="14" spans="1:40" ht="24.75" customHeight="1" x14ac:dyDescent="0.15">
      <c r="A14" s="401"/>
      <c r="B14" s="405"/>
      <c r="C14" s="58" t="s">
        <v>261</v>
      </c>
      <c r="D14" s="371" t="s">
        <v>183</v>
      </c>
      <c r="E14" s="342">
        <v>4</v>
      </c>
      <c r="F14" s="342">
        <v>49</v>
      </c>
      <c r="G14" s="338">
        <f t="shared" si="0"/>
        <v>53</v>
      </c>
      <c r="H14" s="342"/>
      <c r="I14" s="342"/>
      <c r="J14" s="342">
        <v>7</v>
      </c>
      <c r="K14" s="342">
        <v>2</v>
      </c>
      <c r="L14" s="343">
        <f>((H14+J14)+K14)</f>
        <v>9</v>
      </c>
      <c r="M14" s="372"/>
      <c r="N14" s="342"/>
      <c r="O14" s="383"/>
      <c r="P14" s="383"/>
      <c r="Q14" s="383"/>
      <c r="R14" s="383"/>
      <c r="S14" s="372">
        <v>6</v>
      </c>
      <c r="T14" s="383"/>
      <c r="U14" s="383"/>
      <c r="V14" s="372"/>
      <c r="W14" s="372">
        <v>2</v>
      </c>
      <c r="X14" s="374">
        <f>SUM(M14:W14)</f>
        <v>8</v>
      </c>
      <c r="Y14" s="375" t="s">
        <v>11</v>
      </c>
      <c r="Z14" s="134" t="s">
        <v>260</v>
      </c>
      <c r="AA14" s="215"/>
    </row>
    <row r="15" spans="1:40" ht="24.75" customHeight="1" x14ac:dyDescent="0.15">
      <c r="A15" s="401"/>
      <c r="B15" s="405"/>
      <c r="C15" s="58" t="s">
        <v>12</v>
      </c>
      <c r="D15" s="371" t="s">
        <v>184</v>
      </c>
      <c r="E15" s="342">
        <v>2</v>
      </c>
      <c r="F15" s="342">
        <v>14</v>
      </c>
      <c r="G15" s="338">
        <f t="shared" si="0"/>
        <v>16</v>
      </c>
      <c r="H15" s="342"/>
      <c r="I15" s="342"/>
      <c r="J15" s="342">
        <v>5</v>
      </c>
      <c r="K15" s="342">
        <v>2</v>
      </c>
      <c r="L15" s="343">
        <f t="shared" ref="L15:L21" si="2">((H15+J15)+K15)</f>
        <v>7</v>
      </c>
      <c r="M15" s="372"/>
      <c r="N15" s="372"/>
      <c r="O15" s="383"/>
      <c r="P15" s="383"/>
      <c r="Q15" s="383"/>
      <c r="R15" s="383"/>
      <c r="S15" s="383"/>
      <c r="T15" s="383"/>
      <c r="U15" s="383"/>
      <c r="V15" s="372"/>
      <c r="W15" s="372">
        <v>1</v>
      </c>
      <c r="X15" s="374">
        <f>SUM(M15:W15)</f>
        <v>1</v>
      </c>
      <c r="Y15" s="375" t="s">
        <v>11</v>
      </c>
      <c r="Z15" s="134" t="s">
        <v>12</v>
      </c>
      <c r="AA15" s="215"/>
    </row>
    <row r="16" spans="1:40" ht="24.75" customHeight="1" x14ac:dyDescent="0.15">
      <c r="A16" s="360"/>
      <c r="B16" s="406"/>
      <c r="C16" s="59" t="s">
        <v>118</v>
      </c>
      <c r="D16" s="376"/>
      <c r="E16" s="377">
        <f t="shared" ref="E16:X16" si="3">SUM(E12:E15)</f>
        <v>13</v>
      </c>
      <c r="F16" s="377">
        <f t="shared" si="3"/>
        <v>112</v>
      </c>
      <c r="G16" s="377">
        <f t="shared" si="3"/>
        <v>125</v>
      </c>
      <c r="H16" s="377">
        <f t="shared" si="3"/>
        <v>2</v>
      </c>
      <c r="I16" s="377">
        <f t="shared" si="3"/>
        <v>1</v>
      </c>
      <c r="J16" s="377">
        <f t="shared" si="3"/>
        <v>19</v>
      </c>
      <c r="K16" s="377">
        <f t="shared" si="3"/>
        <v>8</v>
      </c>
      <c r="L16" s="384">
        <f>((H16+J16)+K16)</f>
        <v>29</v>
      </c>
      <c r="M16" s="385">
        <f t="shared" si="3"/>
        <v>2</v>
      </c>
      <c r="N16" s="385">
        <f t="shared" si="3"/>
        <v>0</v>
      </c>
      <c r="O16" s="378">
        <f t="shared" si="3"/>
        <v>0</v>
      </c>
      <c r="P16" s="378">
        <f t="shared" si="3"/>
        <v>0.2</v>
      </c>
      <c r="Q16" s="378">
        <f t="shared" si="3"/>
        <v>0.5</v>
      </c>
      <c r="R16" s="378">
        <f t="shared" si="3"/>
        <v>0</v>
      </c>
      <c r="S16" s="379">
        <f t="shared" si="3"/>
        <v>10</v>
      </c>
      <c r="T16" s="378">
        <f t="shared" si="3"/>
        <v>0</v>
      </c>
      <c r="U16" s="378">
        <f t="shared" si="3"/>
        <v>0.3</v>
      </c>
      <c r="V16" s="378">
        <f t="shared" si="3"/>
        <v>2.5</v>
      </c>
      <c r="W16" s="378">
        <f t="shared" si="3"/>
        <v>5.5</v>
      </c>
      <c r="X16" s="380">
        <f t="shared" si="3"/>
        <v>21</v>
      </c>
      <c r="Y16" s="381"/>
      <c r="Z16" s="136" t="s">
        <v>13</v>
      </c>
      <c r="AA16" s="215"/>
    </row>
    <row r="17" spans="1:27" ht="24.75" customHeight="1" x14ac:dyDescent="0.15">
      <c r="A17" s="360"/>
      <c r="B17" s="404" t="s">
        <v>177</v>
      </c>
      <c r="C17" s="57" t="s">
        <v>257</v>
      </c>
      <c r="D17" s="365" t="s">
        <v>251</v>
      </c>
      <c r="E17" s="337">
        <v>2</v>
      </c>
      <c r="F17" s="337">
        <v>14</v>
      </c>
      <c r="G17" s="338">
        <f>(E17+F17)</f>
        <v>16</v>
      </c>
      <c r="H17" s="337">
        <v>2</v>
      </c>
      <c r="I17" s="337"/>
      <c r="J17" s="337">
        <v>3</v>
      </c>
      <c r="K17" s="337">
        <v>2</v>
      </c>
      <c r="L17" s="339">
        <f t="shared" si="2"/>
        <v>7</v>
      </c>
      <c r="M17" s="340"/>
      <c r="N17" s="337"/>
      <c r="O17" s="340"/>
      <c r="P17" s="340"/>
      <c r="Q17" s="340"/>
      <c r="R17" s="340"/>
      <c r="S17" s="340"/>
      <c r="T17" s="340"/>
      <c r="U17" s="340"/>
      <c r="V17" s="340">
        <v>2</v>
      </c>
      <c r="W17" s="340">
        <v>1</v>
      </c>
      <c r="X17" s="374">
        <f>SUM(M17:W17)</f>
        <v>3</v>
      </c>
      <c r="Y17" s="370" t="s">
        <v>264</v>
      </c>
      <c r="Z17" s="57" t="s">
        <v>258</v>
      </c>
      <c r="AA17" s="215"/>
    </row>
    <row r="18" spans="1:27" ht="24.75" customHeight="1" x14ac:dyDescent="0.15">
      <c r="A18" s="360"/>
      <c r="B18" s="405"/>
      <c r="C18" s="58" t="s">
        <v>199</v>
      </c>
      <c r="D18" s="371" t="s">
        <v>252</v>
      </c>
      <c r="E18" s="341">
        <v>7</v>
      </c>
      <c r="F18" s="341">
        <v>16</v>
      </c>
      <c r="G18" s="338">
        <f>(E18+F18)</f>
        <v>23</v>
      </c>
      <c r="H18" s="341">
        <v>1</v>
      </c>
      <c r="I18" s="342">
        <v>1</v>
      </c>
      <c r="J18" s="342">
        <v>4</v>
      </c>
      <c r="K18" s="342">
        <v>2</v>
      </c>
      <c r="L18" s="343">
        <f t="shared" si="2"/>
        <v>7</v>
      </c>
      <c r="M18" s="344"/>
      <c r="N18" s="342"/>
      <c r="O18" s="344"/>
      <c r="P18" s="344">
        <v>1</v>
      </c>
      <c r="Q18" s="344"/>
      <c r="R18" s="344"/>
      <c r="S18" s="344">
        <v>3</v>
      </c>
      <c r="T18" s="344"/>
      <c r="U18" s="344"/>
      <c r="V18" s="344"/>
      <c r="W18" s="344">
        <v>1</v>
      </c>
      <c r="X18" s="386">
        <f>SUM(M18:W18)</f>
        <v>5</v>
      </c>
      <c r="Y18" s="375" t="s">
        <v>254</v>
      </c>
      <c r="Z18" s="58" t="s">
        <v>256</v>
      </c>
      <c r="AA18" s="215"/>
    </row>
    <row r="19" spans="1:27" ht="24.75" customHeight="1" x14ac:dyDescent="0.15">
      <c r="A19" s="360"/>
      <c r="B19" s="405"/>
      <c r="C19" s="58" t="s">
        <v>14</v>
      </c>
      <c r="D19" s="371" t="s">
        <v>185</v>
      </c>
      <c r="E19" s="342">
        <v>4</v>
      </c>
      <c r="F19" s="342">
        <v>64</v>
      </c>
      <c r="G19" s="338">
        <f>(E19+F19)</f>
        <v>68</v>
      </c>
      <c r="H19" s="342">
        <v>1</v>
      </c>
      <c r="I19" s="342">
        <v>1</v>
      </c>
      <c r="J19" s="342">
        <v>8</v>
      </c>
      <c r="K19" s="342">
        <v>3</v>
      </c>
      <c r="L19" s="343">
        <f t="shared" si="2"/>
        <v>12</v>
      </c>
      <c r="M19" s="344"/>
      <c r="N19" s="387"/>
      <c r="O19" s="388"/>
      <c r="P19" s="388"/>
      <c r="Q19" s="388"/>
      <c r="R19" s="388"/>
      <c r="S19" s="388"/>
      <c r="T19" s="388"/>
      <c r="U19" s="388"/>
      <c r="V19" s="388">
        <v>1</v>
      </c>
      <c r="W19" s="388">
        <v>1</v>
      </c>
      <c r="X19" s="386">
        <f>SUM(M19:W19)</f>
        <v>2</v>
      </c>
      <c r="Y19" s="375" t="s">
        <v>119</v>
      </c>
      <c r="Z19" s="134" t="s">
        <v>14</v>
      </c>
      <c r="AA19" s="215"/>
    </row>
    <row r="20" spans="1:27" ht="24.75" customHeight="1" x14ac:dyDescent="0.15">
      <c r="A20" s="360"/>
      <c r="B20" s="405"/>
      <c r="C20" s="58" t="s">
        <v>15</v>
      </c>
      <c r="D20" s="371" t="s">
        <v>186</v>
      </c>
      <c r="E20" s="342"/>
      <c r="F20" s="342">
        <v>32</v>
      </c>
      <c r="G20" s="338">
        <f>(E20+F20)</f>
        <v>32</v>
      </c>
      <c r="H20" s="342">
        <v>3</v>
      </c>
      <c r="I20" s="342"/>
      <c r="J20" s="342">
        <v>5</v>
      </c>
      <c r="K20" s="342">
        <v>3</v>
      </c>
      <c r="L20" s="343">
        <f t="shared" si="2"/>
        <v>11</v>
      </c>
      <c r="M20" s="344"/>
      <c r="N20" s="389"/>
      <c r="O20" s="388"/>
      <c r="P20" s="388"/>
      <c r="Q20" s="388">
        <v>3</v>
      </c>
      <c r="R20" s="388"/>
      <c r="S20" s="388">
        <v>25</v>
      </c>
      <c r="T20" s="388"/>
      <c r="U20" s="388"/>
      <c r="V20" s="388"/>
      <c r="W20" s="388">
        <v>5</v>
      </c>
      <c r="X20" s="386">
        <f>SUM(M20:W20)</f>
        <v>33</v>
      </c>
      <c r="Y20" s="375" t="s">
        <v>120</v>
      </c>
      <c r="Z20" s="134" t="s">
        <v>15</v>
      </c>
      <c r="AA20" s="215"/>
    </row>
    <row r="21" spans="1:27" ht="24.75" customHeight="1" x14ac:dyDescent="0.15">
      <c r="A21" s="360"/>
      <c r="B21" s="406"/>
      <c r="C21" s="59" t="s">
        <v>178</v>
      </c>
      <c r="D21" s="376"/>
      <c r="E21" s="377">
        <f t="shared" ref="E21:X21" si="4">SUM(E17:E20)</f>
        <v>13</v>
      </c>
      <c r="F21" s="377">
        <f t="shared" si="4"/>
        <v>126</v>
      </c>
      <c r="G21" s="377">
        <f t="shared" si="4"/>
        <v>139</v>
      </c>
      <c r="H21" s="377">
        <f t="shared" si="4"/>
        <v>7</v>
      </c>
      <c r="I21" s="377">
        <f t="shared" si="4"/>
        <v>2</v>
      </c>
      <c r="J21" s="377">
        <f t="shared" si="4"/>
        <v>20</v>
      </c>
      <c r="K21" s="377">
        <f t="shared" si="4"/>
        <v>10</v>
      </c>
      <c r="L21" s="384">
        <f t="shared" si="2"/>
        <v>37</v>
      </c>
      <c r="M21" s="385">
        <f t="shared" si="4"/>
        <v>0</v>
      </c>
      <c r="N21" s="390">
        <f t="shared" si="4"/>
        <v>0</v>
      </c>
      <c r="O21" s="379">
        <f t="shared" si="4"/>
        <v>0</v>
      </c>
      <c r="P21" s="379">
        <f t="shared" si="4"/>
        <v>1</v>
      </c>
      <c r="Q21" s="379">
        <f t="shared" si="4"/>
        <v>3</v>
      </c>
      <c r="R21" s="379">
        <f t="shared" si="4"/>
        <v>0</v>
      </c>
      <c r="S21" s="379">
        <f t="shared" si="4"/>
        <v>28</v>
      </c>
      <c r="T21" s="379">
        <f t="shared" si="4"/>
        <v>0</v>
      </c>
      <c r="U21" s="379">
        <f t="shared" si="4"/>
        <v>0</v>
      </c>
      <c r="V21" s="379">
        <f t="shared" si="4"/>
        <v>3</v>
      </c>
      <c r="W21" s="379">
        <f t="shared" si="4"/>
        <v>8</v>
      </c>
      <c r="X21" s="391">
        <f t="shared" si="4"/>
        <v>43</v>
      </c>
      <c r="Y21" s="381"/>
      <c r="Z21" s="136" t="s">
        <v>178</v>
      </c>
      <c r="AA21" s="215"/>
    </row>
    <row r="22" spans="1:27" ht="24.75" customHeight="1" x14ac:dyDescent="0.15">
      <c r="A22" s="360"/>
      <c r="B22" s="402" t="s">
        <v>187</v>
      </c>
      <c r="C22" s="403"/>
      <c r="D22" s="392"/>
      <c r="E22" s="393">
        <f t="shared" ref="E22:K22" si="5">((E11+E16)+E21)</f>
        <v>43</v>
      </c>
      <c r="F22" s="393">
        <f t="shared" si="5"/>
        <v>315</v>
      </c>
      <c r="G22" s="393">
        <f t="shared" si="5"/>
        <v>358</v>
      </c>
      <c r="H22" s="393">
        <f t="shared" si="5"/>
        <v>15</v>
      </c>
      <c r="I22" s="393">
        <f t="shared" si="5"/>
        <v>5</v>
      </c>
      <c r="J22" s="393">
        <f t="shared" si="5"/>
        <v>50</v>
      </c>
      <c r="K22" s="393">
        <f t="shared" si="5"/>
        <v>24</v>
      </c>
      <c r="L22" s="393">
        <f>((H22+J22)+K22)</f>
        <v>89</v>
      </c>
      <c r="M22" s="394">
        <f t="shared" ref="M22:X22" si="6">((M11+M16)+M21)</f>
        <v>2</v>
      </c>
      <c r="N22" s="395">
        <f t="shared" si="6"/>
        <v>0</v>
      </c>
      <c r="O22" s="395">
        <f t="shared" si="6"/>
        <v>0.25</v>
      </c>
      <c r="P22" s="395">
        <f t="shared" si="6"/>
        <v>1.45</v>
      </c>
      <c r="Q22" s="395">
        <f t="shared" si="6"/>
        <v>3.75</v>
      </c>
      <c r="R22" s="395">
        <f t="shared" si="6"/>
        <v>0.5</v>
      </c>
      <c r="S22" s="395">
        <f t="shared" si="6"/>
        <v>43</v>
      </c>
      <c r="T22" s="395">
        <f t="shared" si="6"/>
        <v>9</v>
      </c>
      <c r="U22" s="395">
        <f t="shared" si="6"/>
        <v>0.3</v>
      </c>
      <c r="V22" s="395">
        <f t="shared" si="6"/>
        <v>7.75</v>
      </c>
      <c r="W22" s="395">
        <f t="shared" si="6"/>
        <v>19</v>
      </c>
      <c r="X22" s="396">
        <f t="shared" si="6"/>
        <v>87</v>
      </c>
      <c r="Y22" s="397"/>
      <c r="Z22" s="82" t="s">
        <v>91</v>
      </c>
      <c r="AA22" s="215"/>
    </row>
    <row r="23" spans="1:27" ht="24.95" customHeight="1" x14ac:dyDescent="0.1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5"/>
      <c r="Y23" s="215"/>
      <c r="Z23" s="215"/>
      <c r="AA23" s="215"/>
    </row>
  </sheetData>
  <mergeCells count="33">
    <mergeCell ref="Z2:Z7"/>
    <mergeCell ref="C2:C7"/>
    <mergeCell ref="U3:U7"/>
    <mergeCell ref="V3:V7"/>
    <mergeCell ref="W3:W7"/>
    <mergeCell ref="Q3:Q7"/>
    <mergeCell ref="R3:R7"/>
    <mergeCell ref="H3:H7"/>
    <mergeCell ref="Y2:Y7"/>
    <mergeCell ref="X3:X7"/>
    <mergeCell ref="L3:L7"/>
    <mergeCell ref="E2:G2"/>
    <mergeCell ref="H2:L2"/>
    <mergeCell ref="M3:M7"/>
    <mergeCell ref="N3:N7"/>
    <mergeCell ref="I3:I7"/>
    <mergeCell ref="E3:E7"/>
    <mergeCell ref="M2:X2"/>
    <mergeCell ref="B17:B21"/>
    <mergeCell ref="G3:G7"/>
    <mergeCell ref="F3:F7"/>
    <mergeCell ref="K3:K7"/>
    <mergeCell ref="O3:O7"/>
    <mergeCell ref="P3:P7"/>
    <mergeCell ref="T3:T7"/>
    <mergeCell ref="J3:J7"/>
    <mergeCell ref="S3:S7"/>
    <mergeCell ref="A13:A15"/>
    <mergeCell ref="B22:C22"/>
    <mergeCell ref="B8:B11"/>
    <mergeCell ref="B2:B7"/>
    <mergeCell ref="D2:D7"/>
    <mergeCell ref="B12:B16"/>
  </mergeCells>
  <phoneticPr fontId="1"/>
  <printOptions horizontalCentered="1" gridLinesSet="0"/>
  <pageMargins left="0.27559055118110237" right="0.51181102362204722" top="0.74803149606299213" bottom="0.35433070866141736" header="0.31496062992125984" footer="0.31496062992125984"/>
  <pageSetup paperSize="9" scale="95" firstPageNumber="55" orientation="landscape" useFirstPageNumber="1" r:id="rId1"/>
  <headerFooter alignWithMargins="0"/>
  <ignoredErrors>
    <ignoredError sqref="L11 G11 X11 G16:L16 M16:T16 L21:L22 U16:X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J1" transitionEvaluation="1">
    <tabColor rgb="FFFFFF00"/>
  </sheetPr>
  <dimension ref="A1:IY21"/>
  <sheetViews>
    <sheetView tabSelected="1" view="pageBreakPreview" topLeftCell="AJ1" zoomScaleNormal="100" zoomScaleSheetLayoutView="100" workbookViewId="0">
      <selection activeCell="BM3" sqref="BM3"/>
    </sheetView>
  </sheetViews>
  <sheetFormatPr defaultColWidth="10.625" defaultRowHeight="23.1" customHeight="1" x14ac:dyDescent="0.15"/>
  <cols>
    <col min="1" max="2" width="2.5" style="222" customWidth="1"/>
    <col min="3" max="3" width="9.75" style="222" customWidth="1"/>
    <col min="4" max="7" width="5.75" style="222" customWidth="1"/>
    <col min="8" max="10" width="7" style="222" customWidth="1"/>
    <col min="11" max="11" width="4.5" style="222" customWidth="1"/>
    <col min="12" max="12" width="6.75" style="222" customWidth="1"/>
    <col min="13" max="13" width="4.5" style="222" customWidth="1"/>
    <col min="14" max="14" width="6.75" style="222" customWidth="1"/>
    <col min="15" max="15" width="4.5" style="222" customWidth="1"/>
    <col min="16" max="16" width="6.75" style="222" customWidth="1"/>
    <col min="17" max="17" width="4.5" style="222" customWidth="1"/>
    <col min="18" max="18" width="8.5" style="222" customWidth="1"/>
    <col min="19" max="19" width="9.75" style="222" customWidth="1"/>
    <col min="20" max="21" width="2.5" style="222" customWidth="1"/>
    <col min="22" max="22" width="10.75" style="222" customWidth="1"/>
    <col min="23" max="33" width="7.375" style="222" customWidth="1"/>
    <col min="34" max="34" width="7.875" style="222" customWidth="1"/>
    <col min="35" max="35" width="10.75" style="222" customWidth="1"/>
    <col min="36" max="37" width="2.5" style="222" customWidth="1"/>
    <col min="38" max="38" width="10.75" style="222" customWidth="1"/>
    <col min="39" max="39" width="5.5" style="222" customWidth="1"/>
    <col min="40" max="40" width="6.125" style="222" customWidth="1"/>
    <col min="41" max="42" width="5.5" style="222" customWidth="1"/>
    <col min="43" max="43" width="6.125" style="222" customWidth="1"/>
    <col min="44" max="45" width="5.5" style="222" customWidth="1"/>
    <col min="46" max="46" width="6.125" style="222" customWidth="1"/>
    <col min="47" max="48" width="5.5" style="222" customWidth="1"/>
    <col min="49" max="49" width="6.125" style="222" customWidth="1"/>
    <col min="50" max="50" width="5.5" style="222" customWidth="1"/>
    <col min="51" max="51" width="7.75" style="222" customWidth="1"/>
    <col min="52" max="52" width="6.25" style="222" customWidth="1"/>
    <col min="53" max="53" width="7.75" style="222" customWidth="1"/>
    <col min="54" max="54" width="10.75" style="222" customWidth="1"/>
    <col min="55" max="82" width="10.625" style="222" customWidth="1"/>
    <col min="83" max="16384" width="10.625" style="222"/>
  </cols>
  <sheetData>
    <row r="1" spans="1:82" ht="18" customHeight="1" x14ac:dyDescent="0.15">
      <c r="B1" s="223"/>
      <c r="C1" s="224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4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</row>
    <row r="2" spans="1:82" ht="18" customHeight="1" x14ac:dyDescent="0.15">
      <c r="B2" s="225" t="s">
        <v>167</v>
      </c>
      <c r="C2" s="226"/>
      <c r="D2" s="223"/>
      <c r="E2" s="223"/>
      <c r="F2" s="223"/>
      <c r="G2" s="223"/>
      <c r="H2" s="223"/>
      <c r="I2" s="223"/>
      <c r="J2" s="223"/>
      <c r="K2" s="224"/>
      <c r="L2" s="223"/>
      <c r="M2" s="223"/>
      <c r="N2" s="223"/>
      <c r="O2" s="223"/>
      <c r="P2" s="223"/>
      <c r="Q2" s="223"/>
      <c r="R2" s="223"/>
      <c r="S2" s="223"/>
      <c r="T2" s="223"/>
      <c r="U2" s="225"/>
      <c r="V2" s="227"/>
      <c r="W2" s="224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5"/>
      <c r="AL2" s="227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</row>
    <row r="3" spans="1:82" ht="18" customHeight="1" x14ac:dyDescent="0.15">
      <c r="B3" s="228" t="s">
        <v>282</v>
      </c>
      <c r="C3" s="228"/>
      <c r="D3" s="229"/>
      <c r="E3" s="229"/>
      <c r="F3" s="229"/>
      <c r="G3" s="229"/>
      <c r="H3" s="229"/>
      <c r="I3" s="454" t="s">
        <v>243</v>
      </c>
      <c r="J3" s="454"/>
      <c r="K3" s="228" t="s">
        <v>188</v>
      </c>
      <c r="L3" s="229"/>
      <c r="M3" s="229"/>
      <c r="N3" s="229"/>
      <c r="O3" s="229"/>
      <c r="P3" s="229"/>
      <c r="Q3" s="229"/>
      <c r="R3" s="454" t="s">
        <v>345</v>
      </c>
      <c r="S3" s="454"/>
      <c r="T3" s="230"/>
      <c r="U3" s="228"/>
      <c r="V3" s="228" t="s">
        <v>283</v>
      </c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454" t="s">
        <v>243</v>
      </c>
      <c r="AI3" s="454"/>
      <c r="AJ3" s="230"/>
      <c r="AK3" s="228"/>
      <c r="AL3" s="228" t="s">
        <v>284</v>
      </c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454" t="s">
        <v>243</v>
      </c>
      <c r="BB3" s="454"/>
      <c r="BC3" s="223"/>
    </row>
    <row r="4" spans="1:82" ht="21.75" customHeight="1" x14ac:dyDescent="0.15">
      <c r="B4" s="455" t="s">
        <v>53</v>
      </c>
      <c r="C4" s="427" t="s">
        <v>189</v>
      </c>
      <c r="D4" s="445" t="s">
        <v>121</v>
      </c>
      <c r="E4" s="446"/>
      <c r="F4" s="446"/>
      <c r="G4" s="447"/>
      <c r="H4" s="451" t="s">
        <v>122</v>
      </c>
      <c r="I4" s="446"/>
      <c r="J4" s="446"/>
      <c r="K4" s="430" t="s">
        <v>16</v>
      </c>
      <c r="L4" s="431"/>
      <c r="M4" s="431"/>
      <c r="N4" s="431"/>
      <c r="O4" s="431" t="s">
        <v>123</v>
      </c>
      <c r="P4" s="431"/>
      <c r="Q4" s="431"/>
      <c r="R4" s="432"/>
      <c r="S4" s="437" t="s">
        <v>190</v>
      </c>
      <c r="T4" s="231"/>
      <c r="U4" s="455" t="s">
        <v>53</v>
      </c>
      <c r="V4" s="427" t="s">
        <v>189</v>
      </c>
      <c r="W4" s="430" t="s">
        <v>124</v>
      </c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58"/>
      <c r="AI4" s="437" t="s">
        <v>164</v>
      </c>
      <c r="AJ4" s="231"/>
      <c r="AK4" s="455" t="s">
        <v>53</v>
      </c>
      <c r="AL4" s="427" t="s">
        <v>189</v>
      </c>
      <c r="AM4" s="430" t="s">
        <v>125</v>
      </c>
      <c r="AN4" s="431"/>
      <c r="AO4" s="431"/>
      <c r="AP4" s="431"/>
      <c r="AQ4" s="431"/>
      <c r="AR4" s="431"/>
      <c r="AS4" s="431"/>
      <c r="AT4" s="431"/>
      <c r="AU4" s="431"/>
      <c r="AV4" s="431"/>
      <c r="AW4" s="431"/>
      <c r="AX4" s="432"/>
      <c r="AY4" s="451" t="s">
        <v>191</v>
      </c>
      <c r="AZ4" s="446"/>
      <c r="BA4" s="459"/>
      <c r="BB4" s="437" t="s">
        <v>192</v>
      </c>
      <c r="BC4" s="223"/>
    </row>
    <row r="5" spans="1:82" ht="21.75" customHeight="1" x14ac:dyDescent="0.15">
      <c r="B5" s="456"/>
      <c r="C5" s="428"/>
      <c r="D5" s="448"/>
      <c r="E5" s="449"/>
      <c r="F5" s="449"/>
      <c r="G5" s="450"/>
      <c r="H5" s="452"/>
      <c r="I5" s="449"/>
      <c r="J5" s="449"/>
      <c r="K5" s="444" t="s">
        <v>126</v>
      </c>
      <c r="L5" s="436"/>
      <c r="M5" s="436" t="s">
        <v>127</v>
      </c>
      <c r="N5" s="436"/>
      <c r="O5" s="436" t="s">
        <v>128</v>
      </c>
      <c r="P5" s="436"/>
      <c r="Q5" s="436" t="s">
        <v>129</v>
      </c>
      <c r="R5" s="440"/>
      <c r="S5" s="438"/>
      <c r="T5" s="231"/>
      <c r="U5" s="456"/>
      <c r="V5" s="428"/>
      <c r="W5" s="441" t="s">
        <v>130</v>
      </c>
      <c r="X5" s="426"/>
      <c r="Y5" s="426"/>
      <c r="Z5" s="426" t="s">
        <v>131</v>
      </c>
      <c r="AA5" s="426"/>
      <c r="AB5" s="426"/>
      <c r="AC5" s="426" t="s">
        <v>318</v>
      </c>
      <c r="AD5" s="426"/>
      <c r="AE5" s="426"/>
      <c r="AF5" s="426" t="s">
        <v>132</v>
      </c>
      <c r="AG5" s="426"/>
      <c r="AH5" s="453"/>
      <c r="AI5" s="438"/>
      <c r="AJ5" s="231"/>
      <c r="AK5" s="456"/>
      <c r="AL5" s="428"/>
      <c r="AM5" s="441" t="s">
        <v>130</v>
      </c>
      <c r="AN5" s="426"/>
      <c r="AO5" s="426"/>
      <c r="AP5" s="426" t="s">
        <v>133</v>
      </c>
      <c r="AQ5" s="426"/>
      <c r="AR5" s="426"/>
      <c r="AS5" s="426" t="s">
        <v>318</v>
      </c>
      <c r="AT5" s="426"/>
      <c r="AU5" s="426"/>
      <c r="AV5" s="426" t="s">
        <v>132</v>
      </c>
      <c r="AW5" s="426"/>
      <c r="AX5" s="461"/>
      <c r="AY5" s="452"/>
      <c r="AZ5" s="449"/>
      <c r="BA5" s="460"/>
      <c r="BB5" s="438"/>
      <c r="BC5" s="223"/>
    </row>
    <row r="6" spans="1:82" ht="21.75" customHeight="1" x14ac:dyDescent="0.15">
      <c r="B6" s="457"/>
      <c r="C6" s="429"/>
      <c r="D6" s="232" t="s">
        <v>134</v>
      </c>
      <c r="E6" s="232" t="s">
        <v>135</v>
      </c>
      <c r="F6" s="232" t="s">
        <v>18</v>
      </c>
      <c r="G6" s="232" t="s">
        <v>17</v>
      </c>
      <c r="H6" s="233" t="s">
        <v>136</v>
      </c>
      <c r="I6" s="232" t="s">
        <v>137</v>
      </c>
      <c r="J6" s="234" t="s">
        <v>17</v>
      </c>
      <c r="K6" s="235" t="s">
        <v>19</v>
      </c>
      <c r="L6" s="232" t="s">
        <v>20</v>
      </c>
      <c r="M6" s="232" t="s">
        <v>19</v>
      </c>
      <c r="N6" s="232" t="s">
        <v>20</v>
      </c>
      <c r="O6" s="232" t="s">
        <v>19</v>
      </c>
      <c r="P6" s="232" t="s">
        <v>20</v>
      </c>
      <c r="Q6" s="232" t="s">
        <v>19</v>
      </c>
      <c r="R6" s="234" t="s">
        <v>20</v>
      </c>
      <c r="S6" s="439"/>
      <c r="T6" s="231"/>
      <c r="U6" s="457"/>
      <c r="V6" s="429"/>
      <c r="W6" s="235" t="s">
        <v>138</v>
      </c>
      <c r="X6" s="232" t="s">
        <v>329</v>
      </c>
      <c r="Y6" s="232" t="s">
        <v>310</v>
      </c>
      <c r="Z6" s="232" t="s">
        <v>138</v>
      </c>
      <c r="AA6" s="232" t="s">
        <v>21</v>
      </c>
      <c r="AB6" s="232" t="s">
        <v>139</v>
      </c>
      <c r="AC6" s="232" t="s">
        <v>297</v>
      </c>
      <c r="AD6" s="232" t="s">
        <v>329</v>
      </c>
      <c r="AE6" s="232" t="s">
        <v>139</v>
      </c>
      <c r="AF6" s="232" t="s">
        <v>138</v>
      </c>
      <c r="AG6" s="232" t="s">
        <v>21</v>
      </c>
      <c r="AH6" s="236" t="s">
        <v>139</v>
      </c>
      <c r="AI6" s="439"/>
      <c r="AJ6" s="231"/>
      <c r="AK6" s="457"/>
      <c r="AL6" s="429"/>
      <c r="AM6" s="235" t="s">
        <v>224</v>
      </c>
      <c r="AN6" s="232" t="s">
        <v>21</v>
      </c>
      <c r="AO6" s="232" t="s">
        <v>225</v>
      </c>
      <c r="AP6" s="233" t="s">
        <v>224</v>
      </c>
      <c r="AQ6" s="232" t="s">
        <v>21</v>
      </c>
      <c r="AR6" s="232" t="s">
        <v>225</v>
      </c>
      <c r="AS6" s="233" t="s">
        <v>224</v>
      </c>
      <c r="AT6" s="232" t="s">
        <v>21</v>
      </c>
      <c r="AU6" s="232" t="s">
        <v>225</v>
      </c>
      <c r="AV6" s="233" t="s">
        <v>224</v>
      </c>
      <c r="AW6" s="232" t="s">
        <v>21</v>
      </c>
      <c r="AX6" s="232" t="s">
        <v>225</v>
      </c>
      <c r="AY6" s="232" t="s">
        <v>193</v>
      </c>
      <c r="AZ6" s="232" t="s">
        <v>21</v>
      </c>
      <c r="BA6" s="236" t="s">
        <v>194</v>
      </c>
      <c r="BB6" s="439"/>
      <c r="BC6" s="223"/>
    </row>
    <row r="7" spans="1:82" ht="24.75" customHeight="1" x14ac:dyDescent="0.15">
      <c r="B7" s="433" t="s">
        <v>79</v>
      </c>
      <c r="C7" s="217" t="s">
        <v>331</v>
      </c>
      <c r="D7" s="237"/>
      <c r="E7" s="237"/>
      <c r="F7" s="237"/>
      <c r="G7" s="238">
        <f t="shared" ref="G7:G14" si="0">SUM(D7:F7)</f>
        <v>0</v>
      </c>
      <c r="H7" s="237">
        <v>33210</v>
      </c>
      <c r="I7" s="237" t="s">
        <v>117</v>
      </c>
      <c r="J7" s="239">
        <f t="shared" ref="J7:J21" si="1">(H7+I7)</f>
        <v>33210</v>
      </c>
      <c r="K7" s="240">
        <v>24</v>
      </c>
      <c r="L7" s="237">
        <v>66759.3</v>
      </c>
      <c r="M7" s="237"/>
      <c r="N7" s="237"/>
      <c r="O7" s="237">
        <v>5</v>
      </c>
      <c r="P7" s="237">
        <v>50000</v>
      </c>
      <c r="Q7" s="237">
        <v>34</v>
      </c>
      <c r="R7" s="241">
        <v>2163700</v>
      </c>
      <c r="S7" s="218" t="s">
        <v>331</v>
      </c>
      <c r="T7" s="242"/>
      <c r="U7" s="433" t="s">
        <v>79</v>
      </c>
      <c r="V7" s="217" t="s">
        <v>4</v>
      </c>
      <c r="W7" s="398">
        <v>3406.049</v>
      </c>
      <c r="X7" s="357"/>
      <c r="Y7" s="357">
        <v>3510.1120000000001</v>
      </c>
      <c r="Z7" s="357">
        <v>2346.02</v>
      </c>
      <c r="AA7" s="357"/>
      <c r="AB7" s="357">
        <v>2447.373</v>
      </c>
      <c r="AC7" s="357">
        <v>26238.706999999999</v>
      </c>
      <c r="AD7" s="357"/>
      <c r="AE7" s="357">
        <v>29775.319</v>
      </c>
      <c r="AF7" s="238">
        <f t="shared" ref="AF7:AH9" si="2">((W7+Z7)+AC7)</f>
        <v>31990.775999999998</v>
      </c>
      <c r="AG7" s="238">
        <f t="shared" si="2"/>
        <v>0</v>
      </c>
      <c r="AH7" s="243">
        <f t="shared" si="2"/>
        <v>35732.804000000004</v>
      </c>
      <c r="AI7" s="218" t="s">
        <v>4</v>
      </c>
      <c r="AJ7" s="242"/>
      <c r="AK7" s="433" t="s">
        <v>79</v>
      </c>
      <c r="AL7" s="217" t="s">
        <v>4</v>
      </c>
      <c r="AM7" s="240"/>
      <c r="AN7" s="237"/>
      <c r="AO7" s="237"/>
      <c r="AP7" s="237"/>
      <c r="AQ7" s="237"/>
      <c r="AR7" s="237"/>
      <c r="AS7" s="244"/>
      <c r="AT7" s="237"/>
      <c r="AU7" s="237"/>
      <c r="AV7" s="245">
        <f t="shared" ref="AV7:AX9" si="3">((AM7+AP7)+AS7)</f>
        <v>0</v>
      </c>
      <c r="AW7" s="238">
        <f t="shared" si="3"/>
        <v>0</v>
      </c>
      <c r="AX7" s="238">
        <f t="shared" si="3"/>
        <v>0</v>
      </c>
      <c r="AY7" s="238">
        <f t="shared" ref="AY7:BA9" si="4">(AF7+AV7)</f>
        <v>31990.775999999998</v>
      </c>
      <c r="AZ7" s="238">
        <f t="shared" si="4"/>
        <v>0</v>
      </c>
      <c r="BA7" s="243">
        <f t="shared" si="4"/>
        <v>35732.804000000004</v>
      </c>
      <c r="BB7" s="217" t="s">
        <v>4</v>
      </c>
      <c r="BC7" s="223"/>
    </row>
    <row r="8" spans="1:82" ht="24.75" customHeight="1" x14ac:dyDescent="0.15">
      <c r="B8" s="434"/>
      <c r="C8" s="246" t="s">
        <v>332</v>
      </c>
      <c r="D8" s="248"/>
      <c r="E8" s="248"/>
      <c r="F8" s="248"/>
      <c r="G8" s="249">
        <f t="shared" si="0"/>
        <v>0</v>
      </c>
      <c r="H8" s="248">
        <v>23000</v>
      </c>
      <c r="I8" s="248"/>
      <c r="J8" s="250">
        <f t="shared" si="1"/>
        <v>23000</v>
      </c>
      <c r="K8" s="251"/>
      <c r="L8" s="248"/>
      <c r="M8" s="248"/>
      <c r="N8" s="248"/>
      <c r="O8" s="248">
        <v>8</v>
      </c>
      <c r="P8" s="248">
        <v>240000</v>
      </c>
      <c r="Q8" s="248">
        <v>11</v>
      </c>
      <c r="R8" s="252">
        <v>287600</v>
      </c>
      <c r="S8" s="247" t="s">
        <v>332</v>
      </c>
      <c r="T8" s="242"/>
      <c r="U8" s="434"/>
      <c r="V8" s="246" t="s">
        <v>343</v>
      </c>
      <c r="W8" s="399"/>
      <c r="X8" s="358"/>
      <c r="Y8" s="358"/>
      <c r="Z8" s="358">
        <v>1075.3800000000001</v>
      </c>
      <c r="AA8" s="358"/>
      <c r="AB8" s="358">
        <v>1211.395</v>
      </c>
      <c r="AC8" s="358"/>
      <c r="AD8" s="358"/>
      <c r="AE8" s="358"/>
      <c r="AF8" s="249">
        <f t="shared" si="2"/>
        <v>1075.3800000000001</v>
      </c>
      <c r="AG8" s="249">
        <f t="shared" si="2"/>
        <v>0</v>
      </c>
      <c r="AH8" s="253">
        <f>((Y8+AB8)+AE8)</f>
        <v>1211.395</v>
      </c>
      <c r="AI8" s="247" t="s">
        <v>5</v>
      </c>
      <c r="AJ8" s="242"/>
      <c r="AK8" s="434"/>
      <c r="AL8" s="246" t="s">
        <v>5</v>
      </c>
      <c r="AM8" s="251"/>
      <c r="AN8" s="248"/>
      <c r="AO8" s="248"/>
      <c r="AP8" s="248"/>
      <c r="AQ8" s="248"/>
      <c r="AR8" s="248"/>
      <c r="AS8" s="248"/>
      <c r="AT8" s="248"/>
      <c r="AU8" s="248"/>
      <c r="AV8" s="249">
        <f t="shared" si="3"/>
        <v>0</v>
      </c>
      <c r="AW8" s="249">
        <f t="shared" si="3"/>
        <v>0</v>
      </c>
      <c r="AX8" s="249">
        <f t="shared" si="3"/>
        <v>0</v>
      </c>
      <c r="AY8" s="249">
        <f t="shared" si="4"/>
        <v>1075.3800000000001</v>
      </c>
      <c r="AZ8" s="249">
        <f t="shared" si="4"/>
        <v>0</v>
      </c>
      <c r="BA8" s="253">
        <f t="shared" si="4"/>
        <v>1211.395</v>
      </c>
      <c r="BB8" s="246" t="s">
        <v>5</v>
      </c>
      <c r="BC8" s="223"/>
    </row>
    <row r="9" spans="1:82" ht="24.75" customHeight="1" x14ac:dyDescent="0.15">
      <c r="B9" s="434"/>
      <c r="C9" s="246" t="s">
        <v>6</v>
      </c>
      <c r="D9" s="248"/>
      <c r="E9" s="248"/>
      <c r="F9" s="248"/>
      <c r="G9" s="249">
        <f t="shared" si="0"/>
        <v>0</v>
      </c>
      <c r="H9" s="248"/>
      <c r="I9" s="248"/>
      <c r="J9" s="250">
        <f t="shared" si="1"/>
        <v>0</v>
      </c>
      <c r="K9" s="251"/>
      <c r="L9" s="248"/>
      <c r="M9" s="248"/>
      <c r="N9" s="248"/>
      <c r="O9" s="248"/>
      <c r="P9" s="248"/>
      <c r="Q9" s="248"/>
      <c r="R9" s="252"/>
      <c r="S9" s="247" t="s">
        <v>6</v>
      </c>
      <c r="T9" s="242"/>
      <c r="U9" s="434"/>
      <c r="V9" s="246" t="s">
        <v>6</v>
      </c>
      <c r="W9" s="399"/>
      <c r="X9" s="358"/>
      <c r="Y9" s="358"/>
      <c r="Z9" s="358"/>
      <c r="AA9" s="358"/>
      <c r="AB9" s="358"/>
      <c r="AC9" s="358"/>
      <c r="AD9" s="358"/>
      <c r="AE9" s="358"/>
      <c r="AF9" s="249">
        <f t="shared" si="2"/>
        <v>0</v>
      </c>
      <c r="AG9" s="249">
        <f t="shared" si="2"/>
        <v>0</v>
      </c>
      <c r="AH9" s="253">
        <f t="shared" si="2"/>
        <v>0</v>
      </c>
      <c r="AI9" s="247" t="s">
        <v>6</v>
      </c>
      <c r="AJ9" s="242"/>
      <c r="AK9" s="434"/>
      <c r="AL9" s="246" t="s">
        <v>6</v>
      </c>
      <c r="AM9" s="251"/>
      <c r="AN9" s="248"/>
      <c r="AO9" s="248"/>
      <c r="AP9" s="248"/>
      <c r="AQ9" s="248"/>
      <c r="AR9" s="248"/>
      <c r="AS9" s="248"/>
      <c r="AT9" s="248"/>
      <c r="AU9" s="248"/>
      <c r="AV9" s="249">
        <f t="shared" si="3"/>
        <v>0</v>
      </c>
      <c r="AW9" s="249">
        <f t="shared" si="3"/>
        <v>0</v>
      </c>
      <c r="AX9" s="249">
        <f t="shared" si="3"/>
        <v>0</v>
      </c>
      <c r="AY9" s="249">
        <f t="shared" si="4"/>
        <v>0</v>
      </c>
      <c r="AZ9" s="249">
        <f t="shared" si="4"/>
        <v>0</v>
      </c>
      <c r="BA9" s="253">
        <f t="shared" si="4"/>
        <v>0</v>
      </c>
      <c r="BB9" s="246" t="s">
        <v>6</v>
      </c>
      <c r="BC9" s="223"/>
    </row>
    <row r="10" spans="1:82" ht="24.75" customHeight="1" x14ac:dyDescent="0.15">
      <c r="B10" s="435"/>
      <c r="C10" s="255" t="s">
        <v>7</v>
      </c>
      <c r="D10" s="256">
        <f>SUM(D7:D9)</f>
        <v>0</v>
      </c>
      <c r="E10" s="256">
        <f>SUM(E7:E9)</f>
        <v>0</v>
      </c>
      <c r="F10" s="256">
        <f>SUM(F7:F9)</f>
        <v>0</v>
      </c>
      <c r="G10" s="256">
        <f t="shared" si="0"/>
        <v>0</v>
      </c>
      <c r="H10" s="256">
        <f>SUM(H7:H9)</f>
        <v>56210</v>
      </c>
      <c r="I10" s="256">
        <f>SUM(I7:I9)</f>
        <v>0</v>
      </c>
      <c r="J10" s="257">
        <f t="shared" si="1"/>
        <v>56210</v>
      </c>
      <c r="K10" s="258">
        <f t="shared" ref="K10:AE10" si="5">SUM(K7:K9)</f>
        <v>24</v>
      </c>
      <c r="L10" s="256">
        <f t="shared" si="5"/>
        <v>66759.3</v>
      </c>
      <c r="M10" s="256">
        <f t="shared" si="5"/>
        <v>0</v>
      </c>
      <c r="N10" s="256">
        <f t="shared" si="5"/>
        <v>0</v>
      </c>
      <c r="O10" s="256">
        <f t="shared" si="5"/>
        <v>13</v>
      </c>
      <c r="P10" s="256">
        <f t="shared" si="5"/>
        <v>290000</v>
      </c>
      <c r="Q10" s="256">
        <f t="shared" si="5"/>
        <v>45</v>
      </c>
      <c r="R10" s="259">
        <f t="shared" si="5"/>
        <v>2451300</v>
      </c>
      <c r="S10" s="254" t="s">
        <v>7</v>
      </c>
      <c r="T10" s="242"/>
      <c r="U10" s="435"/>
      <c r="V10" s="255" t="s">
        <v>7</v>
      </c>
      <c r="W10" s="400">
        <f t="shared" si="5"/>
        <v>3406.049</v>
      </c>
      <c r="X10" s="359">
        <f t="shared" si="5"/>
        <v>0</v>
      </c>
      <c r="Y10" s="359">
        <f t="shared" si="5"/>
        <v>3510.1120000000001</v>
      </c>
      <c r="Z10" s="359">
        <f t="shared" si="5"/>
        <v>3421.4</v>
      </c>
      <c r="AA10" s="359">
        <f t="shared" si="5"/>
        <v>0</v>
      </c>
      <c r="AB10" s="359">
        <f t="shared" si="5"/>
        <v>3658.768</v>
      </c>
      <c r="AC10" s="359">
        <f t="shared" si="5"/>
        <v>26238.706999999999</v>
      </c>
      <c r="AD10" s="359">
        <f t="shared" si="5"/>
        <v>0</v>
      </c>
      <c r="AE10" s="359">
        <f t="shared" si="5"/>
        <v>29775.319</v>
      </c>
      <c r="AF10" s="256">
        <f t="shared" ref="AF10:AF20" si="6">((W10+Z10)+AC10)</f>
        <v>33066.156000000003</v>
      </c>
      <c r="AG10" s="256">
        <f t="shared" ref="AG10:AG19" si="7">((X10+AA10)+AD10)</f>
        <v>0</v>
      </c>
      <c r="AH10" s="259">
        <f t="shared" ref="AH10:AH19" si="8">((Y10+AB10)+AE10)</f>
        <v>36944.199000000001</v>
      </c>
      <c r="AI10" s="254" t="s">
        <v>7</v>
      </c>
      <c r="AJ10" s="242"/>
      <c r="AK10" s="435"/>
      <c r="AL10" s="255" t="s">
        <v>7</v>
      </c>
      <c r="AM10" s="258">
        <f t="shared" ref="AM10:AU10" si="9">SUM(AM7:AM9)</f>
        <v>0</v>
      </c>
      <c r="AN10" s="256">
        <f t="shared" si="9"/>
        <v>0</v>
      </c>
      <c r="AO10" s="256">
        <f t="shared" si="9"/>
        <v>0</v>
      </c>
      <c r="AP10" s="256">
        <f t="shared" si="9"/>
        <v>0</v>
      </c>
      <c r="AQ10" s="256">
        <f t="shared" si="9"/>
        <v>0</v>
      </c>
      <c r="AR10" s="256">
        <f t="shared" si="9"/>
        <v>0</v>
      </c>
      <c r="AS10" s="256">
        <f t="shared" si="9"/>
        <v>0</v>
      </c>
      <c r="AT10" s="256">
        <f t="shared" si="9"/>
        <v>0</v>
      </c>
      <c r="AU10" s="256">
        <f t="shared" si="9"/>
        <v>0</v>
      </c>
      <c r="AV10" s="256">
        <f t="shared" ref="AV10:AV19" si="10">((AM10+AP10)+AS10)</f>
        <v>0</v>
      </c>
      <c r="AW10" s="256">
        <f t="shared" ref="AW10:AW19" si="11">((AN10+AQ10)+AT10)</f>
        <v>0</v>
      </c>
      <c r="AX10" s="256">
        <f t="shared" ref="AX10:AX19" si="12">((AO10+AR10)+AU10)</f>
        <v>0</v>
      </c>
      <c r="AY10" s="256">
        <f>SUM(AY7:AY9)</f>
        <v>33066.155999999995</v>
      </c>
      <c r="AZ10" s="256">
        <f>SUM(AZ7:AZ9)</f>
        <v>0</v>
      </c>
      <c r="BA10" s="259">
        <f>SUM(BA7:BA9)</f>
        <v>36944.199000000001</v>
      </c>
      <c r="BB10" s="255" t="s">
        <v>7</v>
      </c>
      <c r="BC10" s="223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</row>
    <row r="11" spans="1:82" ht="24.75" customHeight="1" x14ac:dyDescent="0.15">
      <c r="B11" s="433" t="s">
        <v>83</v>
      </c>
      <c r="C11" s="217" t="s">
        <v>8</v>
      </c>
      <c r="D11" s="237"/>
      <c r="E11" s="237"/>
      <c r="F11" s="237"/>
      <c r="G11" s="238">
        <f t="shared" si="0"/>
        <v>0</v>
      </c>
      <c r="H11" s="237"/>
      <c r="I11" s="237"/>
      <c r="J11" s="239">
        <f t="shared" si="1"/>
        <v>0</v>
      </c>
      <c r="K11" s="240"/>
      <c r="L11" s="237"/>
      <c r="M11" s="237"/>
      <c r="N11" s="237"/>
      <c r="O11" s="237"/>
      <c r="P11" s="237"/>
      <c r="Q11" s="237"/>
      <c r="R11" s="241"/>
      <c r="S11" s="218" t="s">
        <v>8</v>
      </c>
      <c r="T11" s="242"/>
      <c r="U11" s="433" t="s">
        <v>83</v>
      </c>
      <c r="V11" s="217" t="s">
        <v>8</v>
      </c>
      <c r="W11" s="398">
        <v>17560.458999999999</v>
      </c>
      <c r="X11" s="357"/>
      <c r="Y11" s="357">
        <v>18758.417000000001</v>
      </c>
      <c r="Z11" s="357">
        <f>38815.381-17560.459</f>
        <v>21254.922000000002</v>
      </c>
      <c r="AA11" s="357"/>
      <c r="AB11" s="357">
        <f>42884.148-18758.417</f>
        <v>24125.731</v>
      </c>
      <c r="AC11" s="357"/>
      <c r="AD11" s="357"/>
      <c r="AE11" s="357"/>
      <c r="AF11" s="238">
        <f t="shared" si="6"/>
        <v>38815.381000000001</v>
      </c>
      <c r="AG11" s="238">
        <f t="shared" si="7"/>
        <v>0</v>
      </c>
      <c r="AH11" s="243">
        <f>((Y11+AB11)+AE11)</f>
        <v>42884.148000000001</v>
      </c>
      <c r="AI11" s="218" t="s">
        <v>8</v>
      </c>
      <c r="AJ11" s="242"/>
      <c r="AK11" s="433" t="s">
        <v>83</v>
      </c>
      <c r="AL11" s="217" t="s">
        <v>8</v>
      </c>
      <c r="AM11" s="240"/>
      <c r="AN11" s="237"/>
      <c r="AO11" s="237"/>
      <c r="AP11" s="237"/>
      <c r="AQ11" s="237"/>
      <c r="AR11" s="237"/>
      <c r="AS11" s="237"/>
      <c r="AT11" s="237"/>
      <c r="AU11" s="237"/>
      <c r="AV11" s="238">
        <f t="shared" si="10"/>
        <v>0</v>
      </c>
      <c r="AW11" s="238">
        <f>((AN11+AQ11)+AT11)</f>
        <v>0</v>
      </c>
      <c r="AX11" s="238">
        <f t="shared" si="12"/>
        <v>0</v>
      </c>
      <c r="AY11" s="238">
        <f t="shared" ref="AY11:AY19" si="13">(AF11+AV11)</f>
        <v>38815.381000000001</v>
      </c>
      <c r="AZ11" s="238">
        <f t="shared" ref="AZ11:AZ19" si="14">(AG11+AW11)</f>
        <v>0</v>
      </c>
      <c r="BA11" s="243">
        <f t="shared" ref="BA11:BA19" si="15">(AH11+AX11)</f>
        <v>42884.148000000001</v>
      </c>
      <c r="BB11" s="217" t="s">
        <v>8</v>
      </c>
      <c r="BC11" s="223"/>
    </row>
    <row r="12" spans="1:82" ht="24.75" customHeight="1" x14ac:dyDescent="0.15">
      <c r="A12" s="424" t="s">
        <v>320</v>
      </c>
      <c r="B12" s="434"/>
      <c r="C12" s="246" t="s">
        <v>10</v>
      </c>
      <c r="D12" s="248"/>
      <c r="E12" s="248"/>
      <c r="F12" s="248"/>
      <c r="G12" s="249">
        <f t="shared" si="0"/>
        <v>0</v>
      </c>
      <c r="H12" s="248"/>
      <c r="I12" s="248"/>
      <c r="J12" s="250">
        <f t="shared" si="1"/>
        <v>0</v>
      </c>
      <c r="K12" s="251">
        <v>7</v>
      </c>
      <c r="L12" s="248">
        <v>122000</v>
      </c>
      <c r="M12" s="248">
        <v>1</v>
      </c>
      <c r="N12" s="248">
        <v>5000</v>
      </c>
      <c r="O12" s="248"/>
      <c r="P12" s="248"/>
      <c r="Q12" s="248"/>
      <c r="R12" s="252"/>
      <c r="S12" s="247" t="s">
        <v>10</v>
      </c>
      <c r="T12" s="425" t="s">
        <v>321</v>
      </c>
      <c r="U12" s="434"/>
      <c r="V12" s="246" t="s">
        <v>10</v>
      </c>
      <c r="W12" s="399">
        <v>7633.3760000000002</v>
      </c>
      <c r="X12" s="358"/>
      <c r="Y12" s="358">
        <v>7766.56</v>
      </c>
      <c r="Z12" s="358">
        <v>1057.441</v>
      </c>
      <c r="AA12" s="358">
        <v>677.81</v>
      </c>
      <c r="AB12" s="358">
        <v>1147.8</v>
      </c>
      <c r="AC12" s="358"/>
      <c r="AD12" s="358"/>
      <c r="AE12" s="358"/>
      <c r="AF12" s="249">
        <f t="shared" si="6"/>
        <v>8690.8170000000009</v>
      </c>
      <c r="AG12" s="249">
        <f t="shared" si="7"/>
        <v>677.81</v>
      </c>
      <c r="AH12" s="253">
        <f t="shared" si="8"/>
        <v>8914.36</v>
      </c>
      <c r="AI12" s="247" t="s">
        <v>10</v>
      </c>
      <c r="AJ12" s="425" t="s">
        <v>293</v>
      </c>
      <c r="AK12" s="434"/>
      <c r="AL12" s="246" t="s">
        <v>10</v>
      </c>
      <c r="AM12" s="251"/>
      <c r="AN12" s="248"/>
      <c r="AO12" s="248"/>
      <c r="AP12" s="248"/>
      <c r="AQ12" s="248"/>
      <c r="AR12" s="248"/>
      <c r="AS12" s="248"/>
      <c r="AT12" s="248"/>
      <c r="AU12" s="248"/>
      <c r="AV12" s="249">
        <f t="shared" si="10"/>
        <v>0</v>
      </c>
      <c r="AW12" s="249">
        <f t="shared" si="11"/>
        <v>0</v>
      </c>
      <c r="AX12" s="249">
        <f t="shared" si="12"/>
        <v>0</v>
      </c>
      <c r="AY12" s="249">
        <f t="shared" si="13"/>
        <v>8690.8170000000009</v>
      </c>
      <c r="AZ12" s="249">
        <f t="shared" si="14"/>
        <v>677.81</v>
      </c>
      <c r="BA12" s="253">
        <f t="shared" si="15"/>
        <v>8914.36</v>
      </c>
      <c r="BB12" s="246" t="s">
        <v>10</v>
      </c>
      <c r="BC12" s="223"/>
    </row>
    <row r="13" spans="1:82" ht="24.75" customHeight="1" x14ac:dyDescent="0.15">
      <c r="A13" s="424"/>
      <c r="B13" s="434"/>
      <c r="C13" s="246" t="s">
        <v>262</v>
      </c>
      <c r="D13" s="248"/>
      <c r="E13" s="248"/>
      <c r="F13" s="248"/>
      <c r="G13" s="276">
        <f>SUM(D13:F13)</f>
        <v>0</v>
      </c>
      <c r="H13" s="277"/>
      <c r="I13" s="277"/>
      <c r="J13" s="276">
        <f>SUM(G13:I13)</f>
        <v>0</v>
      </c>
      <c r="K13" s="278">
        <v>1</v>
      </c>
      <c r="L13" s="277">
        <v>1000</v>
      </c>
      <c r="M13" s="248"/>
      <c r="N13" s="248"/>
      <c r="O13" s="248"/>
      <c r="P13" s="248"/>
      <c r="Q13" s="248">
        <v>19</v>
      </c>
      <c r="R13" s="252">
        <v>1552310</v>
      </c>
      <c r="S13" s="247" t="s">
        <v>260</v>
      </c>
      <c r="T13" s="425"/>
      <c r="U13" s="434"/>
      <c r="V13" s="246" t="s">
        <v>260</v>
      </c>
      <c r="W13" s="399"/>
      <c r="X13" s="358"/>
      <c r="Y13" s="358"/>
      <c r="Z13" s="358">
        <f>5975.15+243.9+990.47</f>
        <v>7209.5199999999995</v>
      </c>
      <c r="AA13" s="358">
        <v>909.57</v>
      </c>
      <c r="AB13" s="358">
        <v>8261.4950000000008</v>
      </c>
      <c r="AC13" s="358"/>
      <c r="AD13" s="358"/>
      <c r="AE13" s="358"/>
      <c r="AF13" s="249">
        <f>((W13+Z13)+AC13)</f>
        <v>7209.5199999999995</v>
      </c>
      <c r="AG13" s="249">
        <f>((X13+AA13)+AD13)</f>
        <v>909.57</v>
      </c>
      <c r="AH13" s="253">
        <f>((Y13+AB13)+AE13)</f>
        <v>8261.4950000000008</v>
      </c>
      <c r="AI13" s="247" t="s">
        <v>260</v>
      </c>
      <c r="AJ13" s="425"/>
      <c r="AK13" s="434"/>
      <c r="AL13" s="246" t="s">
        <v>260</v>
      </c>
      <c r="AM13" s="251"/>
      <c r="AN13" s="248"/>
      <c r="AO13" s="248"/>
      <c r="AP13" s="248"/>
      <c r="AQ13" s="248"/>
      <c r="AR13" s="248"/>
      <c r="AS13" s="248"/>
      <c r="AT13" s="248"/>
      <c r="AU13" s="248"/>
      <c r="AV13" s="249">
        <f>((AM13+AP13)+AS13)</f>
        <v>0</v>
      </c>
      <c r="AW13" s="249">
        <f t="shared" si="11"/>
        <v>0</v>
      </c>
      <c r="AX13" s="249">
        <f t="shared" si="12"/>
        <v>0</v>
      </c>
      <c r="AY13" s="249">
        <f t="shared" si="13"/>
        <v>7209.5199999999995</v>
      </c>
      <c r="AZ13" s="249">
        <f t="shared" si="14"/>
        <v>909.57</v>
      </c>
      <c r="BA13" s="253">
        <f t="shared" si="15"/>
        <v>8261.4950000000008</v>
      </c>
      <c r="BB13" s="246" t="s">
        <v>260</v>
      </c>
      <c r="BC13" s="223"/>
    </row>
    <row r="14" spans="1:82" ht="24.75" customHeight="1" x14ac:dyDescent="0.15">
      <c r="A14" s="424"/>
      <c r="B14" s="434"/>
      <c r="C14" s="246" t="s">
        <v>333</v>
      </c>
      <c r="D14" s="248"/>
      <c r="E14" s="248"/>
      <c r="F14" s="248"/>
      <c r="G14" s="249">
        <f t="shared" si="0"/>
        <v>0</v>
      </c>
      <c r="H14" s="248"/>
      <c r="I14" s="248"/>
      <c r="J14" s="250">
        <f t="shared" si="1"/>
        <v>0</v>
      </c>
      <c r="K14" s="251"/>
      <c r="L14" s="248"/>
      <c r="M14" s="248"/>
      <c r="N14" s="248"/>
      <c r="O14" s="248"/>
      <c r="P14" s="248"/>
      <c r="Q14" s="248"/>
      <c r="R14" s="252"/>
      <c r="S14" s="247" t="s">
        <v>333</v>
      </c>
      <c r="T14" s="425"/>
      <c r="U14" s="434"/>
      <c r="V14" s="246" t="s">
        <v>12</v>
      </c>
      <c r="W14" s="399"/>
      <c r="X14" s="358"/>
      <c r="Y14" s="358"/>
      <c r="Z14" s="358">
        <v>568.23599999999999</v>
      </c>
      <c r="AA14" s="358"/>
      <c r="AB14" s="358">
        <v>658.04600000000005</v>
      </c>
      <c r="AC14" s="358"/>
      <c r="AD14" s="358"/>
      <c r="AE14" s="358"/>
      <c r="AF14" s="249">
        <f>((W14+Z14)+AC14)</f>
        <v>568.23599999999999</v>
      </c>
      <c r="AG14" s="249">
        <f t="shared" si="7"/>
        <v>0</v>
      </c>
      <c r="AH14" s="253">
        <f t="shared" si="8"/>
        <v>658.04600000000005</v>
      </c>
      <c r="AI14" s="247" t="s">
        <v>12</v>
      </c>
      <c r="AJ14" s="425"/>
      <c r="AK14" s="434"/>
      <c r="AL14" s="246" t="s">
        <v>12</v>
      </c>
      <c r="AM14" s="277"/>
      <c r="AN14" s="277"/>
      <c r="AO14" s="248"/>
      <c r="AP14" s="248"/>
      <c r="AQ14" s="248"/>
      <c r="AR14" s="248"/>
      <c r="AS14" s="248"/>
      <c r="AT14" s="248"/>
      <c r="AU14" s="248"/>
      <c r="AV14" s="249">
        <f t="shared" si="10"/>
        <v>0</v>
      </c>
      <c r="AW14" s="249">
        <f t="shared" si="11"/>
        <v>0</v>
      </c>
      <c r="AX14" s="249">
        <f t="shared" si="12"/>
        <v>0</v>
      </c>
      <c r="AY14" s="249">
        <f t="shared" si="13"/>
        <v>568.23599999999999</v>
      </c>
      <c r="AZ14" s="249">
        <f t="shared" si="14"/>
        <v>0</v>
      </c>
      <c r="BA14" s="253">
        <f t="shared" si="15"/>
        <v>658.04600000000005</v>
      </c>
      <c r="BB14" s="246" t="s">
        <v>12</v>
      </c>
      <c r="BC14" s="223"/>
    </row>
    <row r="15" spans="1:82" ht="24.75" customHeight="1" x14ac:dyDescent="0.15">
      <c r="B15" s="435"/>
      <c r="C15" s="255" t="s">
        <v>118</v>
      </c>
      <c r="D15" s="256">
        <f t="shared" ref="D15:AE15" si="16">SUM(D11:D14)</f>
        <v>0</v>
      </c>
      <c r="E15" s="256">
        <f t="shared" si="16"/>
        <v>0</v>
      </c>
      <c r="F15" s="256">
        <f t="shared" si="16"/>
        <v>0</v>
      </c>
      <c r="G15" s="256">
        <f t="shared" si="16"/>
        <v>0</v>
      </c>
      <c r="H15" s="256">
        <f t="shared" si="16"/>
        <v>0</v>
      </c>
      <c r="I15" s="256">
        <f t="shared" si="16"/>
        <v>0</v>
      </c>
      <c r="J15" s="257">
        <f t="shared" si="1"/>
        <v>0</v>
      </c>
      <c r="K15" s="258">
        <f t="shared" si="16"/>
        <v>8</v>
      </c>
      <c r="L15" s="256">
        <f t="shared" si="16"/>
        <v>123000</v>
      </c>
      <c r="M15" s="256">
        <f t="shared" si="16"/>
        <v>1</v>
      </c>
      <c r="N15" s="256">
        <f t="shared" si="16"/>
        <v>5000</v>
      </c>
      <c r="O15" s="256">
        <f t="shared" si="16"/>
        <v>0</v>
      </c>
      <c r="P15" s="256">
        <f t="shared" si="16"/>
        <v>0</v>
      </c>
      <c r="Q15" s="256">
        <f t="shared" si="16"/>
        <v>19</v>
      </c>
      <c r="R15" s="259">
        <f t="shared" si="16"/>
        <v>1552310</v>
      </c>
      <c r="S15" s="254" t="s">
        <v>118</v>
      </c>
      <c r="T15" s="242"/>
      <c r="U15" s="435"/>
      <c r="V15" s="255" t="s">
        <v>118</v>
      </c>
      <c r="W15" s="258">
        <f t="shared" si="16"/>
        <v>25193.834999999999</v>
      </c>
      <c r="X15" s="256">
        <f t="shared" si="16"/>
        <v>0</v>
      </c>
      <c r="Y15" s="359">
        <f t="shared" si="16"/>
        <v>26524.977000000003</v>
      </c>
      <c r="Z15" s="359">
        <f t="shared" si="16"/>
        <v>30090.119000000002</v>
      </c>
      <c r="AA15" s="359">
        <f t="shared" si="16"/>
        <v>1587.38</v>
      </c>
      <c r="AB15" s="359">
        <f t="shared" si="16"/>
        <v>34193.072</v>
      </c>
      <c r="AC15" s="359">
        <f t="shared" si="16"/>
        <v>0</v>
      </c>
      <c r="AD15" s="359">
        <f t="shared" si="16"/>
        <v>0</v>
      </c>
      <c r="AE15" s="359">
        <f t="shared" si="16"/>
        <v>0</v>
      </c>
      <c r="AF15" s="256">
        <f t="shared" si="6"/>
        <v>55283.953999999998</v>
      </c>
      <c r="AG15" s="256">
        <f t="shared" si="7"/>
        <v>1587.38</v>
      </c>
      <c r="AH15" s="259">
        <f t="shared" si="8"/>
        <v>60718.048999999999</v>
      </c>
      <c r="AI15" s="254" t="s">
        <v>118</v>
      </c>
      <c r="AJ15" s="242"/>
      <c r="AK15" s="435"/>
      <c r="AL15" s="255" t="s">
        <v>118</v>
      </c>
      <c r="AM15" s="258">
        <f t="shared" ref="AM15:AU15" si="17">SUM(AM11:AM14)</f>
        <v>0</v>
      </c>
      <c r="AN15" s="256">
        <f>SUM(AN11:AN14)</f>
        <v>0</v>
      </c>
      <c r="AO15" s="256">
        <f t="shared" si="17"/>
        <v>0</v>
      </c>
      <c r="AP15" s="256">
        <f t="shared" si="17"/>
        <v>0</v>
      </c>
      <c r="AQ15" s="256">
        <f t="shared" si="17"/>
        <v>0</v>
      </c>
      <c r="AR15" s="256">
        <f t="shared" si="17"/>
        <v>0</v>
      </c>
      <c r="AS15" s="256">
        <f t="shared" si="17"/>
        <v>0</v>
      </c>
      <c r="AT15" s="256">
        <f t="shared" si="17"/>
        <v>0</v>
      </c>
      <c r="AU15" s="256">
        <f t="shared" si="17"/>
        <v>0</v>
      </c>
      <c r="AV15" s="256">
        <f t="shared" si="10"/>
        <v>0</v>
      </c>
      <c r="AW15" s="256">
        <f t="shared" si="11"/>
        <v>0</v>
      </c>
      <c r="AX15" s="256">
        <f t="shared" si="12"/>
        <v>0</v>
      </c>
      <c r="AY15" s="256">
        <f>SUM(AY11:AY14)</f>
        <v>55283.953999999998</v>
      </c>
      <c r="AZ15" s="256">
        <f>SUM(AZ11:AZ14)</f>
        <v>1587.38</v>
      </c>
      <c r="BA15" s="259">
        <f>SUM(BA11:BA14)</f>
        <v>60718.049000000006</v>
      </c>
      <c r="BB15" s="255" t="s">
        <v>118</v>
      </c>
      <c r="BC15" s="223"/>
      <c r="BD15" s="260"/>
      <c r="BE15" s="260"/>
      <c r="BF15" s="260"/>
      <c r="BG15" s="260"/>
      <c r="BH15" s="260"/>
      <c r="BI15" s="260"/>
      <c r="BJ15" s="260"/>
    </row>
    <row r="16" spans="1:82" ht="24.75" customHeight="1" x14ac:dyDescent="0.15">
      <c r="B16" s="433" t="s">
        <v>177</v>
      </c>
      <c r="C16" s="217" t="s">
        <v>258</v>
      </c>
      <c r="D16" s="237"/>
      <c r="E16" s="237"/>
      <c r="F16" s="237"/>
      <c r="G16" s="238">
        <f>SUM(D16:F16)</f>
        <v>0</v>
      </c>
      <c r="H16" s="237"/>
      <c r="I16" s="237"/>
      <c r="J16" s="238">
        <f>SUM(G16:I16)</f>
        <v>0</v>
      </c>
      <c r="K16" s="240"/>
      <c r="L16" s="237"/>
      <c r="M16" s="237"/>
      <c r="N16" s="237"/>
      <c r="O16" s="237"/>
      <c r="P16" s="237"/>
      <c r="Q16" s="237"/>
      <c r="R16" s="241"/>
      <c r="S16" s="218" t="s">
        <v>258</v>
      </c>
      <c r="T16" s="242"/>
      <c r="U16" s="433" t="s">
        <v>177</v>
      </c>
      <c r="V16" s="217" t="s">
        <v>258</v>
      </c>
      <c r="W16" s="240"/>
      <c r="X16" s="237"/>
      <c r="Y16" s="357"/>
      <c r="Z16" s="357"/>
      <c r="AA16" s="357"/>
      <c r="AB16" s="357"/>
      <c r="AC16" s="357">
        <v>54479.618000000002</v>
      </c>
      <c r="AD16" s="357"/>
      <c r="AE16" s="357">
        <v>184374.96100000001</v>
      </c>
      <c r="AF16" s="238">
        <f>((W16+Z16)+AC16)</f>
        <v>54479.618000000002</v>
      </c>
      <c r="AG16" s="238">
        <f t="shared" si="7"/>
        <v>0</v>
      </c>
      <c r="AH16" s="243">
        <f t="shared" si="8"/>
        <v>184374.96100000001</v>
      </c>
      <c r="AI16" s="218" t="s">
        <v>259</v>
      </c>
      <c r="AJ16" s="242"/>
      <c r="AK16" s="433" t="s">
        <v>177</v>
      </c>
      <c r="AL16" s="217" t="s">
        <v>258</v>
      </c>
      <c r="AM16" s="240"/>
      <c r="AN16" s="237"/>
      <c r="AO16" s="237"/>
      <c r="AP16" s="237"/>
      <c r="AQ16" s="237"/>
      <c r="AR16" s="237"/>
      <c r="AS16" s="237"/>
      <c r="AT16" s="237"/>
      <c r="AU16" s="237"/>
      <c r="AV16" s="238">
        <f t="shared" si="10"/>
        <v>0</v>
      </c>
      <c r="AW16" s="238">
        <f t="shared" si="11"/>
        <v>0</v>
      </c>
      <c r="AX16" s="238">
        <f t="shared" si="12"/>
        <v>0</v>
      </c>
      <c r="AY16" s="238">
        <f t="shared" si="13"/>
        <v>54479.618000000002</v>
      </c>
      <c r="AZ16" s="238">
        <f t="shared" si="14"/>
        <v>0</v>
      </c>
      <c r="BA16" s="243">
        <f t="shared" si="15"/>
        <v>184374.96100000001</v>
      </c>
      <c r="BB16" s="217" t="s">
        <v>258</v>
      </c>
      <c r="BC16" s="223"/>
    </row>
    <row r="17" spans="1:259" ht="24.75" customHeight="1" x14ac:dyDescent="0.15">
      <c r="B17" s="434"/>
      <c r="C17" s="246" t="s">
        <v>199</v>
      </c>
      <c r="D17" s="248"/>
      <c r="E17" s="248"/>
      <c r="F17" s="248"/>
      <c r="G17" s="249">
        <f>SUM(D17:F17)</f>
        <v>0</v>
      </c>
      <c r="H17" s="248"/>
      <c r="I17" s="248"/>
      <c r="J17" s="250">
        <f t="shared" si="1"/>
        <v>0</v>
      </c>
      <c r="K17" s="251">
        <v>2</v>
      </c>
      <c r="L17" s="248">
        <v>2000</v>
      </c>
      <c r="M17" s="248"/>
      <c r="N17" s="248"/>
      <c r="O17" s="248"/>
      <c r="P17" s="248"/>
      <c r="Q17" s="248">
        <v>17</v>
      </c>
      <c r="R17" s="252">
        <v>1977450</v>
      </c>
      <c r="S17" s="247" t="s">
        <v>263</v>
      </c>
      <c r="T17" s="242"/>
      <c r="U17" s="434"/>
      <c r="V17" s="246" t="s">
        <v>255</v>
      </c>
      <c r="W17" s="251"/>
      <c r="X17" s="248"/>
      <c r="Y17" s="248"/>
      <c r="Z17" s="248"/>
      <c r="AA17" s="248"/>
      <c r="AB17" s="248">
        <v>3359.8449999999998</v>
      </c>
      <c r="AC17" s="248"/>
      <c r="AD17" s="248"/>
      <c r="AE17" s="248"/>
      <c r="AF17" s="249">
        <f t="shared" si="6"/>
        <v>0</v>
      </c>
      <c r="AG17" s="249">
        <f t="shared" si="7"/>
        <v>0</v>
      </c>
      <c r="AH17" s="253">
        <f t="shared" si="8"/>
        <v>3359.8449999999998</v>
      </c>
      <c r="AI17" s="247" t="s">
        <v>255</v>
      </c>
      <c r="AJ17" s="242"/>
      <c r="AK17" s="434"/>
      <c r="AL17" s="246" t="s">
        <v>255</v>
      </c>
      <c r="AM17" s="251"/>
      <c r="AN17" s="248"/>
      <c r="AO17" s="248"/>
      <c r="AP17" s="308" t="s">
        <v>1</v>
      </c>
      <c r="AQ17" s="308" t="s">
        <v>1</v>
      </c>
      <c r="AR17" s="308" t="s">
        <v>1</v>
      </c>
      <c r="AS17" s="308" t="s">
        <v>1</v>
      </c>
      <c r="AT17" s="248"/>
      <c r="AU17" s="248"/>
      <c r="AV17" s="249">
        <f t="shared" si="10"/>
        <v>0</v>
      </c>
      <c r="AW17" s="249">
        <f t="shared" si="11"/>
        <v>0</v>
      </c>
      <c r="AX17" s="249">
        <f t="shared" si="12"/>
        <v>0</v>
      </c>
      <c r="AY17" s="249">
        <f t="shared" si="13"/>
        <v>0</v>
      </c>
      <c r="AZ17" s="249">
        <f t="shared" si="14"/>
        <v>0</v>
      </c>
      <c r="BA17" s="253">
        <f t="shared" si="15"/>
        <v>3359.8449999999998</v>
      </c>
      <c r="BB17" s="246" t="s">
        <v>255</v>
      </c>
      <c r="BC17" s="223"/>
    </row>
    <row r="18" spans="1:259" ht="24.75" customHeight="1" x14ac:dyDescent="0.15">
      <c r="B18" s="434"/>
      <c r="C18" s="246" t="s">
        <v>334</v>
      </c>
      <c r="D18" s="248"/>
      <c r="E18" s="248"/>
      <c r="F18" s="248"/>
      <c r="G18" s="249">
        <f>SUM(D18:F18)</f>
        <v>0</v>
      </c>
      <c r="H18" s="248"/>
      <c r="I18" s="248"/>
      <c r="J18" s="250">
        <f t="shared" si="1"/>
        <v>0</v>
      </c>
      <c r="K18" s="251"/>
      <c r="L18" s="248"/>
      <c r="M18" s="248"/>
      <c r="N18" s="248"/>
      <c r="O18" s="248"/>
      <c r="P18" s="248"/>
      <c r="Q18" s="248"/>
      <c r="R18" s="252"/>
      <c r="S18" s="247" t="s">
        <v>334</v>
      </c>
      <c r="T18" s="242"/>
      <c r="U18" s="434"/>
      <c r="V18" s="246" t="s">
        <v>14</v>
      </c>
      <c r="W18" s="251"/>
      <c r="X18" s="248"/>
      <c r="Y18" s="248"/>
      <c r="Z18" s="248"/>
      <c r="AA18" s="248"/>
      <c r="AB18" s="248"/>
      <c r="AC18" s="248"/>
      <c r="AD18" s="248"/>
      <c r="AE18" s="248"/>
      <c r="AF18" s="249">
        <f t="shared" si="6"/>
        <v>0</v>
      </c>
      <c r="AG18" s="249">
        <f t="shared" si="7"/>
        <v>0</v>
      </c>
      <c r="AH18" s="253">
        <f t="shared" si="8"/>
        <v>0</v>
      </c>
      <c r="AI18" s="247" t="s">
        <v>14</v>
      </c>
      <c r="AJ18" s="242"/>
      <c r="AK18" s="434"/>
      <c r="AL18" s="246" t="s">
        <v>14</v>
      </c>
      <c r="AM18" s="251"/>
      <c r="AN18" s="248"/>
      <c r="AO18" s="248"/>
      <c r="AP18" s="248"/>
      <c r="AQ18" s="248"/>
      <c r="AR18" s="248"/>
      <c r="AS18" s="248"/>
      <c r="AT18" s="248"/>
      <c r="AU18" s="248"/>
      <c r="AV18" s="249">
        <f t="shared" si="10"/>
        <v>0</v>
      </c>
      <c r="AW18" s="249">
        <f t="shared" si="11"/>
        <v>0</v>
      </c>
      <c r="AX18" s="249">
        <f t="shared" si="12"/>
        <v>0</v>
      </c>
      <c r="AY18" s="249">
        <f t="shared" si="13"/>
        <v>0</v>
      </c>
      <c r="AZ18" s="249">
        <f t="shared" si="14"/>
        <v>0</v>
      </c>
      <c r="BA18" s="253">
        <f t="shared" si="15"/>
        <v>0</v>
      </c>
      <c r="BB18" s="246" t="s">
        <v>14</v>
      </c>
      <c r="BC18" s="223"/>
    </row>
    <row r="19" spans="1:259" s="319" customFormat="1" ht="24.75" customHeight="1" x14ac:dyDescent="0.15">
      <c r="A19" s="318"/>
      <c r="B19" s="434"/>
      <c r="C19" s="246" t="s">
        <v>335</v>
      </c>
      <c r="D19" s="248"/>
      <c r="E19" s="248"/>
      <c r="F19" s="248"/>
      <c r="G19" s="249">
        <f>SUM(D19:F19)</f>
        <v>0</v>
      </c>
      <c r="H19" s="248"/>
      <c r="I19" s="248"/>
      <c r="J19" s="250">
        <f t="shared" si="1"/>
        <v>0</v>
      </c>
      <c r="K19" s="251"/>
      <c r="L19" s="248"/>
      <c r="M19" s="248"/>
      <c r="N19" s="248"/>
      <c r="O19" s="248"/>
      <c r="P19" s="248"/>
      <c r="Q19" s="248"/>
      <c r="R19" s="252"/>
      <c r="S19" s="247" t="s">
        <v>335</v>
      </c>
      <c r="T19" s="242"/>
      <c r="U19" s="434"/>
      <c r="V19" s="246" t="s">
        <v>15</v>
      </c>
      <c r="W19" s="251"/>
      <c r="X19" s="248"/>
      <c r="Y19" s="248"/>
      <c r="Z19" s="248">
        <v>163.72</v>
      </c>
      <c r="AA19" s="248"/>
      <c r="AB19" s="248">
        <v>209.77699999999999</v>
      </c>
      <c r="AC19" s="248"/>
      <c r="AD19" s="248"/>
      <c r="AE19" s="248"/>
      <c r="AF19" s="249">
        <f t="shared" si="6"/>
        <v>163.72</v>
      </c>
      <c r="AG19" s="249">
        <f t="shared" si="7"/>
        <v>0</v>
      </c>
      <c r="AH19" s="253">
        <f t="shared" si="8"/>
        <v>209.77699999999999</v>
      </c>
      <c r="AI19" s="247" t="s">
        <v>15</v>
      </c>
      <c r="AJ19" s="242"/>
      <c r="AK19" s="434"/>
      <c r="AL19" s="246" t="s">
        <v>15</v>
      </c>
      <c r="AM19" s="251"/>
      <c r="AN19" s="248"/>
      <c r="AO19" s="248"/>
      <c r="AP19" s="248"/>
      <c r="AQ19" s="248"/>
      <c r="AR19" s="248"/>
      <c r="AS19" s="248"/>
      <c r="AT19" s="248"/>
      <c r="AU19" s="248"/>
      <c r="AV19" s="249">
        <f t="shared" si="10"/>
        <v>0</v>
      </c>
      <c r="AW19" s="249">
        <f t="shared" si="11"/>
        <v>0</v>
      </c>
      <c r="AX19" s="249">
        <f t="shared" si="12"/>
        <v>0</v>
      </c>
      <c r="AY19" s="249">
        <f t="shared" si="13"/>
        <v>163.72</v>
      </c>
      <c r="AZ19" s="249">
        <f t="shared" si="14"/>
        <v>0</v>
      </c>
      <c r="BA19" s="253">
        <f t="shared" si="15"/>
        <v>209.77699999999999</v>
      </c>
      <c r="BB19" s="246" t="s">
        <v>15</v>
      </c>
      <c r="BC19" s="223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  <c r="IW19" s="222"/>
      <c r="IX19" s="222"/>
      <c r="IY19" s="222"/>
    </row>
    <row r="20" spans="1:259" ht="24.75" customHeight="1" x14ac:dyDescent="0.15">
      <c r="B20" s="435"/>
      <c r="C20" s="320" t="s">
        <v>178</v>
      </c>
      <c r="D20" s="321">
        <f t="shared" ref="D20:BA20" si="18">SUM(D16:D19)</f>
        <v>0</v>
      </c>
      <c r="E20" s="321">
        <f t="shared" si="18"/>
        <v>0</v>
      </c>
      <c r="F20" s="321">
        <f t="shared" si="18"/>
        <v>0</v>
      </c>
      <c r="G20" s="321">
        <f t="shared" si="18"/>
        <v>0</v>
      </c>
      <c r="H20" s="321">
        <f t="shared" si="18"/>
        <v>0</v>
      </c>
      <c r="I20" s="321">
        <f t="shared" si="18"/>
        <v>0</v>
      </c>
      <c r="J20" s="322">
        <f t="shared" si="1"/>
        <v>0</v>
      </c>
      <c r="K20" s="323">
        <f t="shared" si="18"/>
        <v>2</v>
      </c>
      <c r="L20" s="321">
        <f t="shared" si="18"/>
        <v>2000</v>
      </c>
      <c r="M20" s="321">
        <f t="shared" si="18"/>
        <v>0</v>
      </c>
      <c r="N20" s="321">
        <f t="shared" si="18"/>
        <v>0</v>
      </c>
      <c r="O20" s="321">
        <f t="shared" si="18"/>
        <v>0</v>
      </c>
      <c r="P20" s="321">
        <f t="shared" si="18"/>
        <v>0</v>
      </c>
      <c r="Q20" s="321">
        <f t="shared" si="18"/>
        <v>17</v>
      </c>
      <c r="R20" s="324">
        <f t="shared" si="18"/>
        <v>1977450</v>
      </c>
      <c r="S20" s="325" t="s">
        <v>178</v>
      </c>
      <c r="T20" s="242"/>
      <c r="U20" s="435"/>
      <c r="V20" s="320" t="s">
        <v>178</v>
      </c>
      <c r="W20" s="323">
        <f t="shared" si="18"/>
        <v>0</v>
      </c>
      <c r="X20" s="321">
        <f t="shared" si="18"/>
        <v>0</v>
      </c>
      <c r="Y20" s="321">
        <f t="shared" si="18"/>
        <v>0</v>
      </c>
      <c r="Z20" s="321">
        <f t="shared" si="18"/>
        <v>163.72</v>
      </c>
      <c r="AA20" s="321">
        <f t="shared" si="18"/>
        <v>0</v>
      </c>
      <c r="AB20" s="321">
        <f>SUM(AB16:AB19)</f>
        <v>3569.6219999999998</v>
      </c>
      <c r="AC20" s="321">
        <f t="shared" si="18"/>
        <v>54479.618000000002</v>
      </c>
      <c r="AD20" s="321">
        <f t="shared" si="18"/>
        <v>0</v>
      </c>
      <c r="AE20" s="321">
        <f t="shared" si="18"/>
        <v>184374.96100000001</v>
      </c>
      <c r="AF20" s="321">
        <f t="shared" si="6"/>
        <v>54643.338000000003</v>
      </c>
      <c r="AG20" s="321">
        <f t="shared" si="18"/>
        <v>0</v>
      </c>
      <c r="AH20" s="324">
        <f t="shared" si="18"/>
        <v>187944.58300000001</v>
      </c>
      <c r="AI20" s="325" t="s">
        <v>178</v>
      </c>
      <c r="AJ20" s="242"/>
      <c r="AK20" s="435"/>
      <c r="AL20" s="320" t="s">
        <v>178</v>
      </c>
      <c r="AM20" s="323">
        <f t="shared" si="18"/>
        <v>0</v>
      </c>
      <c r="AN20" s="321">
        <f t="shared" si="18"/>
        <v>0</v>
      </c>
      <c r="AO20" s="321">
        <f t="shared" si="18"/>
        <v>0</v>
      </c>
      <c r="AP20" s="321">
        <f t="shared" si="18"/>
        <v>0</v>
      </c>
      <c r="AQ20" s="321">
        <f t="shared" si="18"/>
        <v>0</v>
      </c>
      <c r="AR20" s="321">
        <f t="shared" si="18"/>
        <v>0</v>
      </c>
      <c r="AS20" s="321">
        <f t="shared" si="18"/>
        <v>0</v>
      </c>
      <c r="AT20" s="321">
        <f t="shared" si="18"/>
        <v>0</v>
      </c>
      <c r="AU20" s="321">
        <f t="shared" si="18"/>
        <v>0</v>
      </c>
      <c r="AV20" s="321">
        <f t="shared" si="18"/>
        <v>0</v>
      </c>
      <c r="AW20" s="321">
        <f t="shared" si="18"/>
        <v>0</v>
      </c>
      <c r="AX20" s="321">
        <f t="shared" si="18"/>
        <v>0</v>
      </c>
      <c r="AY20" s="321">
        <f t="shared" si="18"/>
        <v>54643.338000000003</v>
      </c>
      <c r="AZ20" s="321">
        <f t="shared" si="18"/>
        <v>0</v>
      </c>
      <c r="BA20" s="324">
        <f t="shared" si="18"/>
        <v>187944.58300000001</v>
      </c>
      <c r="BB20" s="320" t="s">
        <v>178</v>
      </c>
      <c r="BC20" s="223"/>
    </row>
    <row r="21" spans="1:259" s="326" customFormat="1" ht="24.75" customHeight="1" x14ac:dyDescent="0.15">
      <c r="B21" s="442" t="s">
        <v>195</v>
      </c>
      <c r="C21" s="443"/>
      <c r="D21" s="327">
        <f t="shared" ref="D21:R21" si="19">((D10+D15)+D20)</f>
        <v>0</v>
      </c>
      <c r="E21" s="327">
        <f t="shared" si="19"/>
        <v>0</v>
      </c>
      <c r="F21" s="327">
        <f t="shared" si="19"/>
        <v>0</v>
      </c>
      <c r="G21" s="327">
        <f t="shared" si="19"/>
        <v>0</v>
      </c>
      <c r="H21" s="327">
        <f t="shared" si="19"/>
        <v>56210</v>
      </c>
      <c r="I21" s="327">
        <f t="shared" si="19"/>
        <v>0</v>
      </c>
      <c r="J21" s="328">
        <f t="shared" si="1"/>
        <v>56210</v>
      </c>
      <c r="K21" s="329">
        <f t="shared" si="19"/>
        <v>34</v>
      </c>
      <c r="L21" s="327">
        <f t="shared" si="19"/>
        <v>191759.3</v>
      </c>
      <c r="M21" s="327">
        <f t="shared" si="19"/>
        <v>1</v>
      </c>
      <c r="N21" s="327">
        <f t="shared" si="19"/>
        <v>5000</v>
      </c>
      <c r="O21" s="327">
        <f t="shared" si="19"/>
        <v>13</v>
      </c>
      <c r="P21" s="327">
        <f t="shared" si="19"/>
        <v>290000</v>
      </c>
      <c r="Q21" s="327">
        <f t="shared" si="19"/>
        <v>81</v>
      </c>
      <c r="R21" s="330">
        <f t="shared" si="19"/>
        <v>5981060</v>
      </c>
      <c r="S21" s="331" t="s">
        <v>140</v>
      </c>
      <c r="T21" s="332"/>
      <c r="U21" s="442" t="s">
        <v>141</v>
      </c>
      <c r="V21" s="443"/>
      <c r="W21" s="329">
        <f t="shared" ref="W21:AH21" si="20">((W10+W15)+W20)</f>
        <v>28599.883999999998</v>
      </c>
      <c r="X21" s="327">
        <f t="shared" si="20"/>
        <v>0</v>
      </c>
      <c r="Y21" s="327">
        <f t="shared" si="20"/>
        <v>30035.089000000004</v>
      </c>
      <c r="Z21" s="327">
        <f t="shared" si="20"/>
        <v>33675.239000000001</v>
      </c>
      <c r="AA21" s="327">
        <f t="shared" si="20"/>
        <v>1587.38</v>
      </c>
      <c r="AB21" s="327">
        <f t="shared" si="20"/>
        <v>41421.462</v>
      </c>
      <c r="AC21" s="327">
        <f t="shared" si="20"/>
        <v>80718.324999999997</v>
      </c>
      <c r="AD21" s="327">
        <f t="shared" si="20"/>
        <v>0</v>
      </c>
      <c r="AE21" s="327">
        <f t="shared" si="20"/>
        <v>214150.28</v>
      </c>
      <c r="AF21" s="327">
        <f t="shared" si="20"/>
        <v>142993.448</v>
      </c>
      <c r="AG21" s="327">
        <f t="shared" si="20"/>
        <v>1587.38</v>
      </c>
      <c r="AH21" s="330">
        <f t="shared" si="20"/>
        <v>285606.83100000001</v>
      </c>
      <c r="AI21" s="331" t="s">
        <v>140</v>
      </c>
      <c r="AJ21" s="332"/>
      <c r="AK21" s="442" t="s">
        <v>142</v>
      </c>
      <c r="AL21" s="443"/>
      <c r="AM21" s="329">
        <f t="shared" ref="AM21:BA21" si="21">((AM10+AM15)+AM20)</f>
        <v>0</v>
      </c>
      <c r="AN21" s="327">
        <f t="shared" si="21"/>
        <v>0</v>
      </c>
      <c r="AO21" s="327">
        <f t="shared" si="21"/>
        <v>0</v>
      </c>
      <c r="AP21" s="327">
        <f t="shared" si="21"/>
        <v>0</v>
      </c>
      <c r="AQ21" s="327">
        <f t="shared" si="21"/>
        <v>0</v>
      </c>
      <c r="AR21" s="327">
        <f t="shared" si="21"/>
        <v>0</v>
      </c>
      <c r="AS21" s="327">
        <f t="shared" si="21"/>
        <v>0</v>
      </c>
      <c r="AT21" s="327">
        <f t="shared" si="21"/>
        <v>0</v>
      </c>
      <c r="AU21" s="327">
        <f t="shared" si="21"/>
        <v>0</v>
      </c>
      <c r="AV21" s="327">
        <f t="shared" si="21"/>
        <v>0</v>
      </c>
      <c r="AW21" s="327">
        <f t="shared" si="21"/>
        <v>0</v>
      </c>
      <c r="AX21" s="327">
        <f t="shared" si="21"/>
        <v>0</v>
      </c>
      <c r="AY21" s="327">
        <f t="shared" si="21"/>
        <v>142993.44799999997</v>
      </c>
      <c r="AZ21" s="327">
        <f t="shared" si="21"/>
        <v>1587.38</v>
      </c>
      <c r="BA21" s="330">
        <f t="shared" si="21"/>
        <v>285606.83100000001</v>
      </c>
      <c r="BB21" s="331" t="s">
        <v>140</v>
      </c>
      <c r="BC21" s="333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4"/>
      <c r="DV21" s="334"/>
      <c r="DW21" s="334"/>
      <c r="DX21" s="334"/>
      <c r="DY21" s="334"/>
      <c r="DZ21" s="334"/>
      <c r="EA21" s="334"/>
      <c r="EB21" s="334"/>
      <c r="EC21" s="334"/>
      <c r="ED21" s="334"/>
      <c r="EE21" s="334"/>
      <c r="EF21" s="334"/>
      <c r="EG21" s="334"/>
      <c r="EH21" s="334"/>
      <c r="EI21" s="334"/>
      <c r="EJ21" s="334"/>
      <c r="EK21" s="334"/>
      <c r="EL21" s="334"/>
      <c r="EM21" s="334"/>
      <c r="EN21" s="334"/>
      <c r="EO21" s="334"/>
      <c r="EP21" s="334"/>
      <c r="EQ21" s="334"/>
      <c r="ER21" s="334"/>
      <c r="ES21" s="334"/>
      <c r="ET21" s="334"/>
      <c r="EU21" s="334"/>
      <c r="EV21" s="334"/>
      <c r="EW21" s="334"/>
      <c r="EX21" s="334"/>
      <c r="EY21" s="334"/>
      <c r="EZ21" s="334"/>
      <c r="FA21" s="334"/>
      <c r="FB21" s="334"/>
      <c r="FC21" s="334"/>
      <c r="FD21" s="334"/>
      <c r="FE21" s="334"/>
      <c r="FF21" s="334"/>
      <c r="FG21" s="334"/>
      <c r="FH21" s="334"/>
      <c r="FI21" s="334"/>
      <c r="FJ21" s="334"/>
      <c r="FK21" s="334"/>
      <c r="FL21" s="334"/>
      <c r="FM21" s="334"/>
      <c r="FN21" s="334"/>
      <c r="FO21" s="334"/>
      <c r="FP21" s="334"/>
      <c r="FQ21" s="334"/>
      <c r="FR21" s="334"/>
      <c r="FS21" s="334"/>
      <c r="FT21" s="334"/>
      <c r="FU21" s="334"/>
      <c r="FV21" s="334"/>
      <c r="FW21" s="334"/>
      <c r="FX21" s="334"/>
      <c r="FY21" s="334"/>
      <c r="FZ21" s="334"/>
      <c r="GA21" s="334"/>
      <c r="GB21" s="334"/>
      <c r="GC21" s="334"/>
      <c r="GD21" s="334"/>
      <c r="GE21" s="334"/>
      <c r="GF21" s="334"/>
      <c r="GG21" s="334"/>
      <c r="GH21" s="334"/>
      <c r="GI21" s="334"/>
      <c r="GJ21" s="334"/>
      <c r="GK21" s="334"/>
      <c r="GL21" s="334"/>
      <c r="GM21" s="334"/>
      <c r="GN21" s="334"/>
      <c r="GO21" s="334"/>
      <c r="GP21" s="334"/>
      <c r="GQ21" s="334"/>
      <c r="GR21" s="334"/>
      <c r="GS21" s="334"/>
      <c r="GT21" s="334"/>
      <c r="GU21" s="334"/>
      <c r="GV21" s="334"/>
      <c r="GW21" s="334"/>
      <c r="GX21" s="334"/>
      <c r="GY21" s="334"/>
      <c r="GZ21" s="334"/>
      <c r="HA21" s="334"/>
      <c r="HB21" s="334"/>
      <c r="HC21" s="334"/>
      <c r="HD21" s="334"/>
      <c r="HE21" s="334"/>
      <c r="HF21" s="334"/>
      <c r="HG21" s="334"/>
      <c r="HH21" s="334"/>
      <c r="HI21" s="334"/>
      <c r="HJ21" s="334"/>
      <c r="HK21" s="334"/>
      <c r="HL21" s="334"/>
      <c r="HM21" s="334"/>
      <c r="HN21" s="334"/>
      <c r="HO21" s="334"/>
      <c r="HP21" s="334"/>
      <c r="HQ21" s="334"/>
      <c r="HR21" s="334"/>
      <c r="HS21" s="334"/>
      <c r="HT21" s="334"/>
      <c r="HU21" s="334"/>
      <c r="HV21" s="334"/>
      <c r="HW21" s="334"/>
      <c r="HX21" s="334"/>
      <c r="HY21" s="334"/>
      <c r="HZ21" s="334"/>
      <c r="IA21" s="334"/>
      <c r="IB21" s="334"/>
      <c r="IC21" s="334"/>
      <c r="ID21" s="334"/>
      <c r="IE21" s="334"/>
      <c r="IF21" s="334"/>
      <c r="IG21" s="334"/>
      <c r="IH21" s="334"/>
      <c r="II21" s="334"/>
      <c r="IJ21" s="334"/>
      <c r="IK21" s="334"/>
      <c r="IL21" s="334"/>
      <c r="IM21" s="334"/>
      <c r="IN21" s="334"/>
      <c r="IO21" s="334"/>
      <c r="IP21" s="334"/>
      <c r="IQ21" s="334"/>
      <c r="IR21" s="334"/>
      <c r="IS21" s="334"/>
      <c r="IT21" s="334"/>
      <c r="IU21" s="334"/>
      <c r="IV21" s="334"/>
      <c r="IW21" s="334"/>
      <c r="IX21" s="334"/>
      <c r="IY21" s="334"/>
    </row>
  </sheetData>
  <mergeCells count="47">
    <mergeCell ref="I3:J3"/>
    <mergeCell ref="R3:S3"/>
    <mergeCell ref="BB4:BB6"/>
    <mergeCell ref="B4:B6"/>
    <mergeCell ref="U4:U6"/>
    <mergeCell ref="C4:C6"/>
    <mergeCell ref="AK4:AK6"/>
    <mergeCell ref="W4:AH4"/>
    <mergeCell ref="W5:Y5"/>
    <mergeCell ref="Z5:AB5"/>
    <mergeCell ref="AY4:BA5"/>
    <mergeCell ref="O4:R4"/>
    <mergeCell ref="AH3:AI3"/>
    <mergeCell ref="BA3:BB3"/>
    <mergeCell ref="AS5:AU5"/>
    <mergeCell ref="AV5:AX5"/>
    <mergeCell ref="AK21:AL21"/>
    <mergeCell ref="AK7:AK10"/>
    <mergeCell ref="V4:V6"/>
    <mergeCell ref="AK11:AK15"/>
    <mergeCell ref="AC5:AE5"/>
    <mergeCell ref="AF5:AH5"/>
    <mergeCell ref="AK16:AK20"/>
    <mergeCell ref="U21:V21"/>
    <mergeCell ref="U16:U20"/>
    <mergeCell ref="AI4:AI6"/>
    <mergeCell ref="B21:C21"/>
    <mergeCell ref="B7:B10"/>
    <mergeCell ref="B11:B15"/>
    <mergeCell ref="B16:B20"/>
    <mergeCell ref="K4:N4"/>
    <mergeCell ref="K5:L5"/>
    <mergeCell ref="D4:G5"/>
    <mergeCell ref="H4:J5"/>
    <mergeCell ref="M5:N5"/>
    <mergeCell ref="A12:A14"/>
    <mergeCell ref="AJ12:AJ14"/>
    <mergeCell ref="AP5:AR5"/>
    <mergeCell ref="AL4:AL6"/>
    <mergeCell ref="AM4:AX4"/>
    <mergeCell ref="U11:U15"/>
    <mergeCell ref="O5:P5"/>
    <mergeCell ref="U7:U10"/>
    <mergeCell ref="S4:S6"/>
    <mergeCell ref="Q5:R5"/>
    <mergeCell ref="AM5:AO5"/>
    <mergeCell ref="T12:T14"/>
  </mergeCells>
  <phoneticPr fontId="1"/>
  <printOptions horizontalCentered="1" gridLinesSet="0"/>
  <pageMargins left="0.19685039370078741" right="0.47244094488188981" top="0.59055118110236227" bottom="0.59055118110236227" header="0.51181102362204722" footer="0.51181102362204722"/>
  <pageSetup paperSize="9" scale="94" firstPageNumber="56" orientation="landscape" useFirstPageNumber="1" r:id="rId1"/>
  <headerFooter alignWithMargins="0"/>
  <colBreaks count="2" manualBreakCount="2">
    <brk id="19" max="20" man="1"/>
    <brk id="35" max="20" man="1"/>
  </colBreaks>
  <ignoredErrors>
    <ignoredError sqref="G10:J10 J20:J21 J16 AY10:BA10 AY15:BA15 AF20 G12:J15 G11 J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tabColor rgb="FF00B050"/>
  </sheetPr>
  <dimension ref="A1:AR22"/>
  <sheetViews>
    <sheetView view="pageBreakPreview" topLeftCell="A4" zoomScale="115" zoomScaleNormal="100" zoomScaleSheetLayoutView="115" workbookViewId="0">
      <selection activeCell="AM4" sqref="AM4:AN4"/>
    </sheetView>
  </sheetViews>
  <sheetFormatPr defaultColWidth="10.625" defaultRowHeight="23.1" customHeight="1" x14ac:dyDescent="0.15"/>
  <cols>
    <col min="1" max="1" width="2.625" style="3" customWidth="1"/>
    <col min="2" max="2" width="2.375" style="3" customWidth="1"/>
    <col min="3" max="3" width="9" style="3" customWidth="1"/>
    <col min="4" max="4" width="3.875" style="3" customWidth="1"/>
    <col min="5" max="5" width="3.125" style="3" customWidth="1"/>
    <col min="6" max="6" width="4" style="3" customWidth="1"/>
    <col min="7" max="7" width="3.625" style="3" customWidth="1"/>
    <col min="8" max="8" width="6.25" style="3" customWidth="1"/>
    <col min="9" max="9" width="3.625" style="3" customWidth="1"/>
    <col min="10" max="10" width="3.875" style="3" customWidth="1"/>
    <col min="11" max="11" width="4.25" style="3" customWidth="1"/>
    <col min="12" max="12" width="4.5" style="3" customWidth="1"/>
    <col min="13" max="13" width="6.25" style="3" customWidth="1"/>
    <col min="14" max="14" width="6.375" style="3" customWidth="1"/>
    <col min="15" max="15" width="2.875" style="3" customWidth="1"/>
    <col min="16" max="16" width="3.75" style="3" customWidth="1"/>
    <col min="17" max="17" width="5.125" style="3" customWidth="1"/>
    <col min="18" max="18" width="7.125" style="3" bestFit="1" customWidth="1"/>
    <col min="19" max="19" width="5.625" style="3" customWidth="1"/>
    <col min="20" max="20" width="3.75" style="3" customWidth="1"/>
    <col min="21" max="21" width="6" style="3" customWidth="1"/>
    <col min="22" max="22" width="5.125" style="3" customWidth="1"/>
    <col min="23" max="23" width="6.875" style="3" customWidth="1"/>
    <col min="24" max="24" width="7.5" style="3" customWidth="1"/>
    <col min="25" max="25" width="9" style="2" customWidth="1"/>
    <col min="26" max="26" width="2.625" style="2" customWidth="1"/>
    <col min="27" max="27" width="2.5" style="2" customWidth="1"/>
    <col min="28" max="28" width="11.125" style="2" customWidth="1"/>
    <col min="29" max="31" width="8.125" style="3" customWidth="1"/>
    <col min="32" max="32" width="10" style="3" customWidth="1"/>
    <col min="33" max="35" width="8.125" style="3" customWidth="1"/>
    <col min="36" max="36" width="8.875" style="3" customWidth="1"/>
    <col min="37" max="40" width="6.5" style="3" customWidth="1"/>
    <col min="41" max="41" width="11.125" style="2" customWidth="1"/>
    <col min="42" max="49" width="10.625" style="3" customWidth="1"/>
    <col min="50" max="16384" width="10.625" style="3"/>
  </cols>
  <sheetData>
    <row r="1" spans="1:44" ht="18" customHeight="1" x14ac:dyDescent="0.15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"/>
      <c r="Z1" s="1"/>
      <c r="AA1" s="1"/>
      <c r="AB1" s="21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</row>
    <row r="2" spans="1:44" ht="18" customHeight="1" x14ac:dyDescent="0.15">
      <c r="B2" s="26"/>
      <c r="C2" s="27"/>
      <c r="D2" s="28" t="s">
        <v>22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"/>
      <c r="Z2" s="1"/>
      <c r="AA2" s="22"/>
      <c r="AB2" s="23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1"/>
    </row>
    <row r="3" spans="1:44" ht="22.5" customHeight="1" x14ac:dyDescent="0.15">
      <c r="C3" s="151" t="s">
        <v>285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491" t="s">
        <v>243</v>
      </c>
      <c r="Y3" s="491"/>
      <c r="Z3" s="203"/>
      <c r="AA3" s="24"/>
      <c r="AB3" s="151" t="s">
        <v>286</v>
      </c>
      <c r="AD3" s="30"/>
      <c r="AE3" s="30"/>
      <c r="AF3" s="30"/>
      <c r="AG3" s="30"/>
      <c r="AH3" s="30"/>
      <c r="AI3" s="491" t="s">
        <v>243</v>
      </c>
      <c r="AJ3" s="491"/>
      <c r="AK3" s="29" t="s">
        <v>196</v>
      </c>
      <c r="AL3" s="30"/>
      <c r="AM3" s="30"/>
      <c r="AN3" s="475" t="s">
        <v>344</v>
      </c>
      <c r="AO3" s="475"/>
    </row>
    <row r="4" spans="1:44" ht="23.25" customHeight="1" x14ac:dyDescent="0.15">
      <c r="B4" s="476" t="s">
        <v>53</v>
      </c>
      <c r="C4" s="470" t="s">
        <v>197</v>
      </c>
      <c r="D4" s="466" t="s">
        <v>143</v>
      </c>
      <c r="E4" s="467"/>
      <c r="F4" s="467"/>
      <c r="G4" s="467"/>
      <c r="H4" s="467"/>
      <c r="I4" s="467"/>
      <c r="J4" s="467"/>
      <c r="K4" s="467"/>
      <c r="L4" s="467"/>
      <c r="M4" s="467"/>
      <c r="N4" s="489" t="s">
        <v>144</v>
      </c>
      <c r="O4" s="467"/>
      <c r="P4" s="467"/>
      <c r="Q4" s="467"/>
      <c r="R4" s="467"/>
      <c r="S4" s="467"/>
      <c r="T4" s="467"/>
      <c r="U4" s="467"/>
      <c r="V4" s="467"/>
      <c r="W4" s="467"/>
      <c r="X4" s="470" t="s">
        <v>24</v>
      </c>
      <c r="Y4" s="481" t="s">
        <v>198</v>
      </c>
      <c r="Z4" s="200"/>
      <c r="AA4" s="484" t="s">
        <v>53</v>
      </c>
      <c r="AB4" s="492" t="s">
        <v>197</v>
      </c>
      <c r="AC4" s="466" t="s">
        <v>330</v>
      </c>
      <c r="AD4" s="467"/>
      <c r="AE4" s="467"/>
      <c r="AF4" s="501" t="s">
        <v>280</v>
      </c>
      <c r="AG4" s="467" t="s">
        <v>145</v>
      </c>
      <c r="AH4" s="467"/>
      <c r="AI4" s="467"/>
      <c r="AJ4" s="149"/>
      <c r="AK4" s="467" t="s">
        <v>303</v>
      </c>
      <c r="AL4" s="467"/>
      <c r="AM4" s="495" t="s">
        <v>146</v>
      </c>
      <c r="AN4" s="496"/>
      <c r="AO4" s="481" t="s">
        <v>164</v>
      </c>
    </row>
    <row r="5" spans="1:44" ht="23.25" customHeight="1" x14ac:dyDescent="0.15">
      <c r="B5" s="477"/>
      <c r="C5" s="471"/>
      <c r="D5" s="487" t="s">
        <v>147</v>
      </c>
      <c r="E5" s="488"/>
      <c r="F5" s="488"/>
      <c r="G5" s="488"/>
      <c r="H5" s="488" t="s">
        <v>148</v>
      </c>
      <c r="I5" s="488"/>
      <c r="J5" s="488"/>
      <c r="K5" s="488"/>
      <c r="L5" s="468" t="s">
        <v>23</v>
      </c>
      <c r="M5" s="468" t="s">
        <v>17</v>
      </c>
      <c r="N5" s="488" t="s">
        <v>147</v>
      </c>
      <c r="O5" s="488"/>
      <c r="P5" s="488"/>
      <c r="Q5" s="488"/>
      <c r="R5" s="488" t="s">
        <v>148</v>
      </c>
      <c r="S5" s="488"/>
      <c r="T5" s="488"/>
      <c r="U5" s="490"/>
      <c r="V5" s="473" t="s">
        <v>23</v>
      </c>
      <c r="W5" s="468" t="s">
        <v>17</v>
      </c>
      <c r="X5" s="471"/>
      <c r="Y5" s="482"/>
      <c r="Z5" s="200"/>
      <c r="AA5" s="485"/>
      <c r="AB5" s="493"/>
      <c r="AC5" s="479" t="s">
        <v>314</v>
      </c>
      <c r="AD5" s="468" t="s">
        <v>149</v>
      </c>
      <c r="AE5" s="468" t="s">
        <v>17</v>
      </c>
      <c r="AF5" s="502"/>
      <c r="AG5" s="468" t="s">
        <v>298</v>
      </c>
      <c r="AH5" s="468" t="s">
        <v>150</v>
      </c>
      <c r="AI5" s="468" t="s">
        <v>17</v>
      </c>
      <c r="AJ5" s="152" t="s">
        <v>151</v>
      </c>
      <c r="AK5" s="500" t="s">
        <v>234</v>
      </c>
      <c r="AL5" s="468" t="s">
        <v>152</v>
      </c>
      <c r="AM5" s="497" t="s">
        <v>235</v>
      </c>
      <c r="AN5" s="498" t="s">
        <v>152</v>
      </c>
      <c r="AO5" s="482"/>
    </row>
    <row r="6" spans="1:44" ht="23.25" customHeight="1" x14ac:dyDescent="0.15">
      <c r="B6" s="478"/>
      <c r="C6" s="472"/>
      <c r="D6" s="50" t="s">
        <v>25</v>
      </c>
      <c r="E6" s="47" t="s">
        <v>153</v>
      </c>
      <c r="F6" s="47" t="s">
        <v>26</v>
      </c>
      <c r="G6" s="47" t="s">
        <v>23</v>
      </c>
      <c r="H6" s="31" t="s">
        <v>27</v>
      </c>
      <c r="I6" s="47" t="s">
        <v>26</v>
      </c>
      <c r="J6" s="213" t="s">
        <v>239</v>
      </c>
      <c r="K6" s="47" t="s">
        <v>23</v>
      </c>
      <c r="L6" s="469"/>
      <c r="M6" s="469"/>
      <c r="N6" s="31" t="s">
        <v>25</v>
      </c>
      <c r="O6" s="47" t="s">
        <v>154</v>
      </c>
      <c r="P6" s="31" t="s">
        <v>26</v>
      </c>
      <c r="Q6" s="31" t="s">
        <v>23</v>
      </c>
      <c r="R6" s="31" t="s">
        <v>27</v>
      </c>
      <c r="S6" s="47" t="s">
        <v>26</v>
      </c>
      <c r="T6" s="213" t="s">
        <v>226</v>
      </c>
      <c r="U6" s="48" t="s">
        <v>23</v>
      </c>
      <c r="V6" s="474"/>
      <c r="W6" s="469"/>
      <c r="X6" s="472"/>
      <c r="Y6" s="483"/>
      <c r="Z6" s="200"/>
      <c r="AA6" s="486"/>
      <c r="AB6" s="494"/>
      <c r="AC6" s="480"/>
      <c r="AD6" s="469"/>
      <c r="AE6" s="469"/>
      <c r="AF6" s="49" t="s">
        <v>155</v>
      </c>
      <c r="AG6" s="469"/>
      <c r="AH6" s="469"/>
      <c r="AI6" s="469"/>
      <c r="AJ6" s="150"/>
      <c r="AK6" s="480"/>
      <c r="AL6" s="469"/>
      <c r="AM6" s="469"/>
      <c r="AN6" s="499"/>
      <c r="AO6" s="483"/>
    </row>
    <row r="7" spans="1:44" ht="25.5" customHeight="1" x14ac:dyDescent="0.15">
      <c r="B7" s="404" t="s">
        <v>79</v>
      </c>
      <c r="C7" s="57" t="s">
        <v>292</v>
      </c>
      <c r="D7" s="153"/>
      <c r="E7" s="154"/>
      <c r="F7" s="154"/>
      <c r="G7" s="154"/>
      <c r="H7" s="154"/>
      <c r="I7" s="154"/>
      <c r="J7" s="154"/>
      <c r="K7" s="155"/>
      <c r="L7" s="154"/>
      <c r="M7" s="156">
        <f>SUM(D7:L7)</f>
        <v>0</v>
      </c>
      <c r="N7" s="155"/>
      <c r="O7" s="154"/>
      <c r="P7" s="154"/>
      <c r="Q7" s="154"/>
      <c r="R7" s="154">
        <v>639.06200000000001</v>
      </c>
      <c r="S7" s="154"/>
      <c r="T7" s="154"/>
      <c r="U7" s="154"/>
      <c r="V7" s="157"/>
      <c r="W7" s="158">
        <f>SUM(N7:V7)</f>
        <v>639.06200000000001</v>
      </c>
      <c r="X7" s="159">
        <f>(M7+W7)</f>
        <v>639.06200000000001</v>
      </c>
      <c r="Y7" s="133" t="s">
        <v>274</v>
      </c>
      <c r="Z7" s="201"/>
      <c r="AA7" s="404" t="s">
        <v>79</v>
      </c>
      <c r="AB7" s="57" t="s">
        <v>80</v>
      </c>
      <c r="AC7" s="153"/>
      <c r="AD7" s="154"/>
      <c r="AE7" s="156">
        <f>(AC7+AD7)</f>
        <v>0</v>
      </c>
      <c r="AF7" s="154">
        <v>81433.633000000002</v>
      </c>
      <c r="AG7" s="154"/>
      <c r="AH7" s="154"/>
      <c r="AI7" s="156">
        <f>(AG7+AH7)</f>
        <v>0</v>
      </c>
      <c r="AJ7" s="159">
        <f>((AE7+AF7)+AI7)</f>
        <v>81433.633000000002</v>
      </c>
      <c r="AK7" s="153"/>
      <c r="AL7" s="154"/>
      <c r="AM7" s="154"/>
      <c r="AN7" s="174"/>
      <c r="AO7" s="133" t="s">
        <v>80</v>
      </c>
    </row>
    <row r="8" spans="1:44" ht="25.5" customHeight="1" x14ac:dyDescent="0.15">
      <c r="B8" s="405"/>
      <c r="C8" s="58" t="s">
        <v>332</v>
      </c>
      <c r="D8" s="160"/>
      <c r="E8" s="161"/>
      <c r="F8" s="161"/>
      <c r="G8" s="161"/>
      <c r="H8" s="161"/>
      <c r="I8" s="161"/>
      <c r="J8" s="161"/>
      <c r="K8" s="162"/>
      <c r="L8" s="161"/>
      <c r="M8" s="163">
        <f>SUM(D8:L8)</f>
        <v>0</v>
      </c>
      <c r="N8" s="162"/>
      <c r="O8" s="161"/>
      <c r="P8" s="161"/>
      <c r="Q8" s="161"/>
      <c r="R8" s="161">
        <v>40829.43</v>
      </c>
      <c r="S8" s="161"/>
      <c r="T8" s="161"/>
      <c r="U8" s="161"/>
      <c r="V8" s="161"/>
      <c r="W8" s="164">
        <f>SUM(N8:V8)</f>
        <v>40829.43</v>
      </c>
      <c r="X8" s="165">
        <f>(M8+W8)</f>
        <v>40829.43</v>
      </c>
      <c r="Y8" s="134" t="s">
        <v>275</v>
      </c>
      <c r="Z8" s="201"/>
      <c r="AA8" s="405"/>
      <c r="AB8" s="58" t="s">
        <v>81</v>
      </c>
      <c r="AC8" s="160"/>
      <c r="AD8" s="161"/>
      <c r="AE8" s="163">
        <f>(AC8+AD8)</f>
        <v>0</v>
      </c>
      <c r="AF8" s="161">
        <v>169556.38800000001</v>
      </c>
      <c r="AG8" s="161"/>
      <c r="AH8" s="161"/>
      <c r="AI8" s="163">
        <f>(AG8+AH8)</f>
        <v>0</v>
      </c>
      <c r="AJ8" s="165">
        <f>((AE8+AF8)+AI8)</f>
        <v>169556.38800000001</v>
      </c>
      <c r="AK8" s="160"/>
      <c r="AL8" s="161"/>
      <c r="AM8" s="161"/>
      <c r="AN8" s="175"/>
      <c r="AO8" s="134" t="s">
        <v>81</v>
      </c>
    </row>
    <row r="9" spans="1:44" ht="25.5" customHeight="1" x14ac:dyDescent="0.15">
      <c r="B9" s="405"/>
      <c r="C9" s="58" t="s">
        <v>6</v>
      </c>
      <c r="D9" s="160"/>
      <c r="E9" s="161"/>
      <c r="F9" s="161"/>
      <c r="G9" s="161"/>
      <c r="H9" s="161"/>
      <c r="I9" s="161"/>
      <c r="J9" s="161"/>
      <c r="K9" s="162"/>
      <c r="L9" s="161"/>
      <c r="M9" s="163">
        <f>SUM(D9:L9)</f>
        <v>0</v>
      </c>
      <c r="N9" s="162"/>
      <c r="O9" s="161"/>
      <c r="P9" s="161"/>
      <c r="Q9" s="161"/>
      <c r="R9" s="161"/>
      <c r="S9" s="161"/>
      <c r="T9" s="161"/>
      <c r="U9" s="161"/>
      <c r="V9" s="161"/>
      <c r="W9" s="164">
        <f>SUM(N9:V9)</f>
        <v>0</v>
      </c>
      <c r="X9" s="165">
        <f>(M9+W9)</f>
        <v>0</v>
      </c>
      <c r="Y9" s="134" t="s">
        <v>6</v>
      </c>
      <c r="Z9" s="201"/>
      <c r="AA9" s="405"/>
      <c r="AB9" s="58" t="s">
        <v>6</v>
      </c>
      <c r="AC9" s="160"/>
      <c r="AD9" s="161"/>
      <c r="AE9" s="163">
        <f>(AC9+AD9)</f>
        <v>0</v>
      </c>
      <c r="AF9" s="161"/>
      <c r="AG9" s="161"/>
      <c r="AH9" s="161"/>
      <c r="AI9" s="163">
        <f>(AG9+AH9)</f>
        <v>0</v>
      </c>
      <c r="AJ9" s="165">
        <f>((AE9+AF9)+AI9)</f>
        <v>0</v>
      </c>
      <c r="AK9" s="160">
        <v>1409.0509999999999</v>
      </c>
      <c r="AL9" s="162">
        <v>214115.511</v>
      </c>
      <c r="AM9" s="161"/>
      <c r="AN9" s="175"/>
      <c r="AO9" s="134" t="s">
        <v>6</v>
      </c>
    </row>
    <row r="10" spans="1:44" ht="25.5" customHeight="1" x14ac:dyDescent="0.15">
      <c r="B10" s="406"/>
      <c r="C10" s="59" t="s">
        <v>7</v>
      </c>
      <c r="D10" s="166">
        <f t="shared" ref="D10:L10" si="0">SUM(D7:D9)</f>
        <v>0</v>
      </c>
      <c r="E10" s="167">
        <f t="shared" si="0"/>
        <v>0</v>
      </c>
      <c r="F10" s="167">
        <f t="shared" si="0"/>
        <v>0</v>
      </c>
      <c r="G10" s="167">
        <f t="shared" si="0"/>
        <v>0</v>
      </c>
      <c r="H10" s="167">
        <f t="shared" si="0"/>
        <v>0</v>
      </c>
      <c r="I10" s="167">
        <f t="shared" si="0"/>
        <v>0</v>
      </c>
      <c r="J10" s="167">
        <f t="shared" si="0"/>
        <v>0</v>
      </c>
      <c r="K10" s="168">
        <f t="shared" si="0"/>
        <v>0</v>
      </c>
      <c r="L10" s="167">
        <f t="shared" si="0"/>
        <v>0</v>
      </c>
      <c r="M10" s="167">
        <f t="shared" ref="M10:M20" si="1">SUM(D10:L10)</f>
        <v>0</v>
      </c>
      <c r="N10" s="168">
        <f t="shared" ref="N10:V10" si="2">SUM(N7:N9)</f>
        <v>0</v>
      </c>
      <c r="O10" s="167">
        <f t="shared" si="2"/>
        <v>0</v>
      </c>
      <c r="P10" s="167">
        <f t="shared" si="2"/>
        <v>0</v>
      </c>
      <c r="Q10" s="167">
        <f t="shared" si="2"/>
        <v>0</v>
      </c>
      <c r="R10" s="167">
        <f t="shared" si="2"/>
        <v>41468.491999999998</v>
      </c>
      <c r="S10" s="167">
        <f t="shared" si="2"/>
        <v>0</v>
      </c>
      <c r="T10" s="167">
        <f t="shared" si="2"/>
        <v>0</v>
      </c>
      <c r="U10" s="167">
        <f t="shared" si="2"/>
        <v>0</v>
      </c>
      <c r="V10" s="167">
        <f t="shared" si="2"/>
        <v>0</v>
      </c>
      <c r="W10" s="169">
        <f t="shared" ref="W10:W20" si="3">SUM(N10:V10)</f>
        <v>41468.491999999998</v>
      </c>
      <c r="X10" s="170">
        <f t="shared" ref="X10:X20" si="4">(M10+W10)</f>
        <v>41468.491999999998</v>
      </c>
      <c r="Y10" s="136" t="s">
        <v>7</v>
      </c>
      <c r="Z10" s="201"/>
      <c r="AA10" s="406"/>
      <c r="AB10" s="59" t="s">
        <v>7</v>
      </c>
      <c r="AC10" s="166">
        <f>SUM(AC7:AC9)</f>
        <v>0</v>
      </c>
      <c r="AD10" s="167">
        <f>SUM(AD7:AD9)</f>
        <v>0</v>
      </c>
      <c r="AE10" s="167">
        <f t="shared" ref="AE10:AE20" si="5">(AC10+AD10)</f>
        <v>0</v>
      </c>
      <c r="AF10" s="167">
        <f>SUM(AF7:AF9)</f>
        <v>250990.02100000001</v>
      </c>
      <c r="AG10" s="167">
        <f>SUM(AG7:AG9)</f>
        <v>0</v>
      </c>
      <c r="AH10" s="167">
        <f>SUM(AH7:AH9)</f>
        <v>0</v>
      </c>
      <c r="AI10" s="167">
        <f t="shared" ref="AI10:AI20" si="6">(AG10+AH10)</f>
        <v>0</v>
      </c>
      <c r="AJ10" s="170">
        <f t="shared" ref="AJ10:AJ20" si="7">((AE10+AF10)+AI10)</f>
        <v>250990.02100000001</v>
      </c>
      <c r="AK10" s="166">
        <f>SUM(AK7:AK9)</f>
        <v>1409.0509999999999</v>
      </c>
      <c r="AL10" s="168">
        <f>SUM(AL7:AL9)</f>
        <v>214115.511</v>
      </c>
      <c r="AM10" s="167">
        <f>SUM(AM7:AM9)</f>
        <v>0</v>
      </c>
      <c r="AN10" s="170">
        <f>SUM(AN7:AN9)</f>
        <v>0</v>
      </c>
      <c r="AO10" s="136" t="s">
        <v>7</v>
      </c>
      <c r="AP10" s="46"/>
      <c r="AQ10" s="46"/>
      <c r="AR10" s="46"/>
    </row>
    <row r="11" spans="1:44" ht="25.5" customHeight="1" x14ac:dyDescent="0.15">
      <c r="B11" s="404" t="s">
        <v>83</v>
      </c>
      <c r="C11" s="57" t="s">
        <v>336</v>
      </c>
      <c r="D11" s="153"/>
      <c r="E11" s="154"/>
      <c r="F11" s="154"/>
      <c r="G11" s="154"/>
      <c r="H11" s="154"/>
      <c r="I11" s="154"/>
      <c r="J11" s="154"/>
      <c r="K11" s="155"/>
      <c r="L11" s="154"/>
      <c r="M11" s="156">
        <f t="shared" si="1"/>
        <v>0</v>
      </c>
      <c r="N11" s="155"/>
      <c r="O11" s="154"/>
      <c r="P11" s="154"/>
      <c r="Q11" s="154"/>
      <c r="R11" s="154"/>
      <c r="S11" s="154"/>
      <c r="T11" s="154"/>
      <c r="U11" s="262"/>
      <c r="V11" s="154"/>
      <c r="W11" s="156">
        <f t="shared" si="3"/>
        <v>0</v>
      </c>
      <c r="X11" s="159">
        <f t="shared" si="4"/>
        <v>0</v>
      </c>
      <c r="Y11" s="133" t="s">
        <v>336</v>
      </c>
      <c r="Z11" s="201"/>
      <c r="AA11" s="404" t="s">
        <v>83</v>
      </c>
      <c r="AB11" s="57" t="s">
        <v>84</v>
      </c>
      <c r="AC11" s="153"/>
      <c r="AD11" s="154"/>
      <c r="AE11" s="156">
        <f t="shared" si="5"/>
        <v>0</v>
      </c>
      <c r="AF11" s="154">
        <f>48030.596+7115.591</f>
        <v>55146.186999999998</v>
      </c>
      <c r="AG11" s="154"/>
      <c r="AH11" s="154"/>
      <c r="AI11" s="156">
        <f t="shared" si="6"/>
        <v>0</v>
      </c>
      <c r="AJ11" s="159">
        <f t="shared" si="7"/>
        <v>55146.186999999998</v>
      </c>
      <c r="AK11" s="153"/>
      <c r="AL11" s="154"/>
      <c r="AM11" s="154"/>
      <c r="AN11" s="174"/>
      <c r="AO11" s="133" t="s">
        <v>84</v>
      </c>
    </row>
    <row r="12" spans="1:44" ht="25.5" customHeight="1" x14ac:dyDescent="0.15">
      <c r="A12" s="462" t="s">
        <v>294</v>
      </c>
      <c r="B12" s="405"/>
      <c r="C12" s="58" t="s">
        <v>337</v>
      </c>
      <c r="D12" s="160"/>
      <c r="E12" s="161"/>
      <c r="F12" s="161"/>
      <c r="G12" s="161"/>
      <c r="H12" s="161"/>
      <c r="I12" s="161"/>
      <c r="J12" s="161"/>
      <c r="K12" s="162"/>
      <c r="L12" s="161"/>
      <c r="M12" s="163">
        <f t="shared" si="1"/>
        <v>0</v>
      </c>
      <c r="N12" s="162"/>
      <c r="O12" s="161"/>
      <c r="P12" s="161"/>
      <c r="Q12" s="161"/>
      <c r="R12" s="161"/>
      <c r="S12" s="161"/>
      <c r="T12" s="161"/>
      <c r="U12" s="161"/>
      <c r="V12" s="161"/>
      <c r="W12" s="163">
        <f t="shared" si="3"/>
        <v>0</v>
      </c>
      <c r="X12" s="165">
        <f t="shared" si="4"/>
        <v>0</v>
      </c>
      <c r="Y12" s="134" t="s">
        <v>337</v>
      </c>
      <c r="Z12" s="463" t="s">
        <v>322</v>
      </c>
      <c r="AA12" s="405"/>
      <c r="AB12" s="58" t="s">
        <v>85</v>
      </c>
      <c r="AC12" s="160">
        <v>48178.457999999999</v>
      </c>
      <c r="AD12" s="161"/>
      <c r="AE12" s="163">
        <f t="shared" si="5"/>
        <v>48178.457999999999</v>
      </c>
      <c r="AF12" s="161">
        <v>121203.52099999999</v>
      </c>
      <c r="AG12" s="161"/>
      <c r="AH12" s="161"/>
      <c r="AI12" s="163">
        <f t="shared" si="6"/>
        <v>0</v>
      </c>
      <c r="AJ12" s="165">
        <f t="shared" si="7"/>
        <v>169381.97899999999</v>
      </c>
      <c r="AK12" s="160"/>
      <c r="AL12" s="161"/>
      <c r="AM12" s="268" t="s">
        <v>1</v>
      </c>
      <c r="AN12" s="269" t="s">
        <v>304</v>
      </c>
      <c r="AO12" s="134" t="s">
        <v>85</v>
      </c>
    </row>
    <row r="13" spans="1:44" ht="25.5" customHeight="1" x14ac:dyDescent="0.15">
      <c r="A13" s="462"/>
      <c r="B13" s="405"/>
      <c r="C13" s="58" t="s">
        <v>262</v>
      </c>
      <c r="D13" s="160"/>
      <c r="E13" s="161"/>
      <c r="F13" s="161"/>
      <c r="G13" s="161"/>
      <c r="H13" s="161"/>
      <c r="I13" s="161"/>
      <c r="J13" s="161"/>
      <c r="K13" s="162"/>
      <c r="L13" s="161"/>
      <c r="M13" s="163">
        <f t="shared" si="1"/>
        <v>0</v>
      </c>
      <c r="N13" s="162"/>
      <c r="O13" s="161"/>
      <c r="P13" s="161"/>
      <c r="Q13" s="161"/>
      <c r="R13" s="161"/>
      <c r="S13" s="161"/>
      <c r="T13" s="161"/>
      <c r="U13" s="161"/>
      <c r="V13" s="161"/>
      <c r="W13" s="163">
        <f t="shared" si="3"/>
        <v>0</v>
      </c>
      <c r="X13" s="165">
        <f t="shared" si="4"/>
        <v>0</v>
      </c>
      <c r="Y13" s="134" t="s">
        <v>260</v>
      </c>
      <c r="Z13" s="463"/>
      <c r="AA13" s="405"/>
      <c r="AB13" s="58" t="s">
        <v>260</v>
      </c>
      <c r="AC13" s="160">
        <v>47367.688000000002</v>
      </c>
      <c r="AD13" s="161"/>
      <c r="AE13" s="163">
        <f t="shared" si="5"/>
        <v>47367.688000000002</v>
      </c>
      <c r="AF13" s="161">
        <v>89963.096000000005</v>
      </c>
      <c r="AG13" s="161"/>
      <c r="AH13" s="161"/>
      <c r="AI13" s="163">
        <f t="shared" si="6"/>
        <v>0</v>
      </c>
      <c r="AJ13" s="165">
        <f t="shared" si="7"/>
        <v>137330.78400000001</v>
      </c>
      <c r="AK13" s="160"/>
      <c r="AL13" s="161"/>
      <c r="AM13" s="161"/>
      <c r="AN13" s="175"/>
      <c r="AO13" s="134" t="s">
        <v>260</v>
      </c>
    </row>
    <row r="14" spans="1:44" ht="25.5" customHeight="1" x14ac:dyDescent="0.15">
      <c r="A14" s="462"/>
      <c r="B14" s="405"/>
      <c r="C14" s="58" t="s">
        <v>333</v>
      </c>
      <c r="D14" s="160"/>
      <c r="E14" s="161"/>
      <c r="F14" s="161"/>
      <c r="G14" s="161"/>
      <c r="H14" s="161"/>
      <c r="I14" s="161"/>
      <c r="J14" s="161"/>
      <c r="K14" s="162"/>
      <c r="L14" s="161"/>
      <c r="M14" s="163">
        <f t="shared" si="1"/>
        <v>0</v>
      </c>
      <c r="N14" s="162"/>
      <c r="O14" s="161"/>
      <c r="P14" s="161"/>
      <c r="Q14" s="161"/>
      <c r="R14" s="161"/>
      <c r="S14" s="161"/>
      <c r="T14" s="161"/>
      <c r="U14" s="161"/>
      <c r="V14" s="161"/>
      <c r="W14" s="163">
        <f t="shared" si="3"/>
        <v>0</v>
      </c>
      <c r="X14" s="165">
        <f t="shared" si="4"/>
        <v>0</v>
      </c>
      <c r="Y14" s="134" t="s">
        <v>276</v>
      </c>
      <c r="Z14" s="463"/>
      <c r="AA14" s="405"/>
      <c r="AB14" s="58" t="s">
        <v>86</v>
      </c>
      <c r="AC14" s="160"/>
      <c r="AD14" s="161"/>
      <c r="AE14" s="163">
        <f t="shared" si="5"/>
        <v>0</v>
      </c>
      <c r="AF14" s="161"/>
      <c r="AG14" s="161"/>
      <c r="AH14" s="161"/>
      <c r="AI14" s="163">
        <f t="shared" si="6"/>
        <v>0</v>
      </c>
      <c r="AJ14" s="165">
        <f t="shared" si="7"/>
        <v>0</v>
      </c>
      <c r="AK14" s="160"/>
      <c r="AL14" s="161"/>
      <c r="AM14" s="161"/>
      <c r="AN14" s="175"/>
      <c r="AO14" s="134" t="s">
        <v>86</v>
      </c>
    </row>
    <row r="15" spans="1:44" ht="25.5" customHeight="1" x14ac:dyDescent="0.15">
      <c r="B15" s="406"/>
      <c r="C15" s="59" t="s">
        <v>88</v>
      </c>
      <c r="D15" s="166">
        <f t="shared" ref="D15:L15" si="8">SUM(D11:D14)</f>
        <v>0</v>
      </c>
      <c r="E15" s="167">
        <f t="shared" si="8"/>
        <v>0</v>
      </c>
      <c r="F15" s="167">
        <f t="shared" si="8"/>
        <v>0</v>
      </c>
      <c r="G15" s="167">
        <f t="shared" si="8"/>
        <v>0</v>
      </c>
      <c r="H15" s="167">
        <f t="shared" si="8"/>
        <v>0</v>
      </c>
      <c r="I15" s="167">
        <f t="shared" si="8"/>
        <v>0</v>
      </c>
      <c r="J15" s="167">
        <f t="shared" si="8"/>
        <v>0</v>
      </c>
      <c r="K15" s="168">
        <f t="shared" si="8"/>
        <v>0</v>
      </c>
      <c r="L15" s="167">
        <f t="shared" si="8"/>
        <v>0</v>
      </c>
      <c r="M15" s="167">
        <f t="shared" si="1"/>
        <v>0</v>
      </c>
      <c r="N15" s="168">
        <f t="shared" ref="N15:V15" si="9">SUM(N11:N14)</f>
        <v>0</v>
      </c>
      <c r="O15" s="167">
        <f t="shared" si="9"/>
        <v>0</v>
      </c>
      <c r="P15" s="167">
        <f t="shared" si="9"/>
        <v>0</v>
      </c>
      <c r="Q15" s="167">
        <f t="shared" si="9"/>
        <v>0</v>
      </c>
      <c r="R15" s="167">
        <f t="shared" si="9"/>
        <v>0</v>
      </c>
      <c r="S15" s="167">
        <f t="shared" si="9"/>
        <v>0</v>
      </c>
      <c r="T15" s="167">
        <f t="shared" si="9"/>
        <v>0</v>
      </c>
      <c r="U15" s="167">
        <f t="shared" si="9"/>
        <v>0</v>
      </c>
      <c r="V15" s="167">
        <f t="shared" si="9"/>
        <v>0</v>
      </c>
      <c r="W15" s="167">
        <f t="shared" si="3"/>
        <v>0</v>
      </c>
      <c r="X15" s="170">
        <f t="shared" si="4"/>
        <v>0</v>
      </c>
      <c r="Y15" s="136" t="s">
        <v>338</v>
      </c>
      <c r="Z15" s="201"/>
      <c r="AA15" s="406"/>
      <c r="AB15" s="59" t="s">
        <v>88</v>
      </c>
      <c r="AC15" s="166">
        <f>SUM(AC11:AC14)</f>
        <v>95546.146000000008</v>
      </c>
      <c r="AD15" s="167">
        <f>SUM(AD11:AD14)</f>
        <v>0</v>
      </c>
      <c r="AE15" s="167">
        <f t="shared" si="5"/>
        <v>95546.146000000008</v>
      </c>
      <c r="AF15" s="167">
        <f>SUM(AF11:AF14)</f>
        <v>266312.804</v>
      </c>
      <c r="AG15" s="167">
        <f>SUM(AG11:AG14)</f>
        <v>0</v>
      </c>
      <c r="AH15" s="167">
        <f>SUM(AH11:AH14)</f>
        <v>0</v>
      </c>
      <c r="AI15" s="167">
        <f t="shared" si="6"/>
        <v>0</v>
      </c>
      <c r="AJ15" s="170">
        <f t="shared" si="7"/>
        <v>361858.95</v>
      </c>
      <c r="AK15" s="166">
        <f>SUM(AK11:AK14)</f>
        <v>0</v>
      </c>
      <c r="AL15" s="167">
        <f>SUM(AL11:AL14)</f>
        <v>0</v>
      </c>
      <c r="AM15" s="167">
        <f>SUM(AM11:AM14)</f>
        <v>0</v>
      </c>
      <c r="AN15" s="170">
        <f>SUM(AN11:AN14)</f>
        <v>0</v>
      </c>
      <c r="AO15" s="136" t="s">
        <v>88</v>
      </c>
      <c r="AP15" s="46"/>
      <c r="AQ15" s="46"/>
      <c r="AR15" s="46"/>
    </row>
    <row r="16" spans="1:44" ht="25.5" customHeight="1" x14ac:dyDescent="0.15">
      <c r="B16" s="404" t="s">
        <v>177</v>
      </c>
      <c r="C16" s="57" t="s">
        <v>258</v>
      </c>
      <c r="D16" s="153"/>
      <c r="E16" s="154"/>
      <c r="F16" s="154"/>
      <c r="G16" s="154"/>
      <c r="H16" s="154"/>
      <c r="I16" s="154"/>
      <c r="J16" s="154"/>
      <c r="K16" s="155"/>
      <c r="L16" s="154"/>
      <c r="M16" s="156">
        <f t="shared" si="1"/>
        <v>0</v>
      </c>
      <c r="N16" s="155"/>
      <c r="O16" s="154"/>
      <c r="P16" s="154"/>
      <c r="Q16" s="154"/>
      <c r="R16" s="154"/>
      <c r="S16" s="154"/>
      <c r="T16" s="154"/>
      <c r="U16" s="154"/>
      <c r="V16" s="154"/>
      <c r="W16" s="156">
        <f t="shared" si="3"/>
        <v>0</v>
      </c>
      <c r="X16" s="159">
        <f t="shared" si="4"/>
        <v>0</v>
      </c>
      <c r="Y16" s="133" t="s">
        <v>258</v>
      </c>
      <c r="Z16" s="201"/>
      <c r="AA16" s="404" t="s">
        <v>177</v>
      </c>
      <c r="AB16" s="57" t="s">
        <v>258</v>
      </c>
      <c r="AC16" s="153"/>
      <c r="AD16" s="154"/>
      <c r="AE16" s="156">
        <f t="shared" si="5"/>
        <v>0</v>
      </c>
      <c r="AF16" s="154">
        <f>10599.627+3131.31+8915.754+203.44</f>
        <v>22850.130999999998</v>
      </c>
      <c r="AG16" s="154"/>
      <c r="AH16" s="154"/>
      <c r="AI16" s="156">
        <f t="shared" si="6"/>
        <v>0</v>
      </c>
      <c r="AJ16" s="159">
        <f t="shared" si="7"/>
        <v>22850.130999999998</v>
      </c>
      <c r="AK16" s="153"/>
      <c r="AL16" s="154"/>
      <c r="AM16" s="154">
        <v>192.238</v>
      </c>
      <c r="AN16" s="174">
        <v>11534.28</v>
      </c>
      <c r="AO16" s="57" t="s">
        <v>258</v>
      </c>
    </row>
    <row r="17" spans="2:44" ht="25.5" customHeight="1" x14ac:dyDescent="0.15">
      <c r="B17" s="405"/>
      <c r="C17" s="58" t="s">
        <v>199</v>
      </c>
      <c r="D17" s="160"/>
      <c r="E17" s="161"/>
      <c r="F17" s="161"/>
      <c r="G17" s="161"/>
      <c r="H17" s="161"/>
      <c r="I17" s="161"/>
      <c r="J17" s="161"/>
      <c r="K17" s="162"/>
      <c r="L17" s="161"/>
      <c r="M17" s="163">
        <f t="shared" si="1"/>
        <v>0</v>
      </c>
      <c r="N17" s="162"/>
      <c r="O17" s="161"/>
      <c r="P17" s="161"/>
      <c r="Q17" s="161"/>
      <c r="R17" s="161">
        <v>270062.163</v>
      </c>
      <c r="S17" s="161"/>
      <c r="T17" s="161"/>
      <c r="U17" s="161">
        <v>40892.400000000001</v>
      </c>
      <c r="V17" s="161"/>
      <c r="W17" s="163">
        <f t="shared" si="3"/>
        <v>310954.56300000002</v>
      </c>
      <c r="X17" s="165">
        <f>(M17+W17)</f>
        <v>310954.56300000002</v>
      </c>
      <c r="Y17" s="134" t="s">
        <v>277</v>
      </c>
      <c r="Z17" s="201"/>
      <c r="AA17" s="405"/>
      <c r="AB17" s="58" t="s">
        <v>199</v>
      </c>
      <c r="AC17" s="160"/>
      <c r="AD17" s="161"/>
      <c r="AE17" s="163">
        <f t="shared" si="5"/>
        <v>0</v>
      </c>
      <c r="AF17" s="161">
        <v>68832.437999999995</v>
      </c>
      <c r="AG17" s="161"/>
      <c r="AH17" s="161"/>
      <c r="AI17" s="163">
        <f t="shared" si="6"/>
        <v>0</v>
      </c>
      <c r="AJ17" s="165">
        <f t="shared" si="7"/>
        <v>68832.437999999995</v>
      </c>
      <c r="AK17" s="160"/>
      <c r="AL17" s="161"/>
      <c r="AM17" s="161"/>
      <c r="AN17" s="175"/>
      <c r="AO17" s="134" t="s">
        <v>199</v>
      </c>
    </row>
    <row r="18" spans="2:44" ht="25.5" customHeight="1" x14ac:dyDescent="0.15">
      <c r="B18" s="405"/>
      <c r="C18" s="58" t="s">
        <v>334</v>
      </c>
      <c r="D18" s="311"/>
      <c r="E18" s="161"/>
      <c r="F18" s="161"/>
      <c r="G18" s="161"/>
      <c r="H18" s="161"/>
      <c r="I18" s="161"/>
      <c r="J18" s="161"/>
      <c r="K18" s="162"/>
      <c r="L18" s="161"/>
      <c r="M18" s="163">
        <f t="shared" si="1"/>
        <v>0</v>
      </c>
      <c r="N18" s="162"/>
      <c r="O18" s="161"/>
      <c r="P18" s="161"/>
      <c r="Q18" s="161"/>
      <c r="R18" s="161"/>
      <c r="S18" s="161"/>
      <c r="T18" s="161"/>
      <c r="U18" s="161"/>
      <c r="V18" s="161"/>
      <c r="W18" s="163">
        <f t="shared" si="3"/>
        <v>0</v>
      </c>
      <c r="X18" s="165">
        <f t="shared" si="4"/>
        <v>0</v>
      </c>
      <c r="Y18" s="134" t="s">
        <v>278</v>
      </c>
      <c r="Z18" s="201"/>
      <c r="AA18" s="405"/>
      <c r="AB18" s="58" t="s">
        <v>200</v>
      </c>
      <c r="AC18" s="160"/>
      <c r="AD18" s="161"/>
      <c r="AE18" s="163">
        <f t="shared" si="5"/>
        <v>0</v>
      </c>
      <c r="AF18" s="161"/>
      <c r="AG18" s="161"/>
      <c r="AH18" s="161"/>
      <c r="AI18" s="163">
        <f t="shared" si="6"/>
        <v>0</v>
      </c>
      <c r="AJ18" s="165">
        <f t="shared" si="7"/>
        <v>0</v>
      </c>
      <c r="AK18" s="160"/>
      <c r="AL18" s="161"/>
      <c r="AM18" s="161"/>
      <c r="AN18" s="175"/>
      <c r="AO18" s="134" t="s">
        <v>200</v>
      </c>
    </row>
    <row r="19" spans="2:44" ht="25.5" customHeight="1" x14ac:dyDescent="0.15">
      <c r="B19" s="405"/>
      <c r="C19" s="58" t="s">
        <v>335</v>
      </c>
      <c r="D19" s="160"/>
      <c r="E19" s="161"/>
      <c r="F19" s="161"/>
      <c r="G19" s="161"/>
      <c r="H19" s="161"/>
      <c r="I19" s="161"/>
      <c r="J19" s="161"/>
      <c r="K19" s="162"/>
      <c r="L19" s="161"/>
      <c r="M19" s="163">
        <f t="shared" si="1"/>
        <v>0</v>
      </c>
      <c r="N19" s="162">
        <v>449460</v>
      </c>
      <c r="O19" s="161"/>
      <c r="P19" s="161"/>
      <c r="Q19" s="161"/>
      <c r="R19" s="161"/>
      <c r="S19" s="161"/>
      <c r="T19" s="161"/>
      <c r="U19" s="268" t="s">
        <v>1</v>
      </c>
      <c r="V19" s="161"/>
      <c r="W19" s="163">
        <f t="shared" si="3"/>
        <v>449460</v>
      </c>
      <c r="X19" s="165">
        <f t="shared" si="4"/>
        <v>449460</v>
      </c>
      <c r="Y19" s="134" t="s">
        <v>279</v>
      </c>
      <c r="Z19" s="201"/>
      <c r="AA19" s="405"/>
      <c r="AB19" s="58" t="s">
        <v>201</v>
      </c>
      <c r="AC19" s="160">
        <v>41057</v>
      </c>
      <c r="AD19" s="161"/>
      <c r="AE19" s="163">
        <f t="shared" si="5"/>
        <v>41057</v>
      </c>
      <c r="AF19" s="161">
        <v>298202.90700000001</v>
      </c>
      <c r="AG19" s="161"/>
      <c r="AH19" s="161"/>
      <c r="AI19" s="163">
        <f t="shared" si="6"/>
        <v>0</v>
      </c>
      <c r="AJ19" s="165">
        <f t="shared" si="7"/>
        <v>339259.90700000001</v>
      </c>
      <c r="AK19" s="160"/>
      <c r="AL19" s="161"/>
      <c r="AM19" s="161"/>
      <c r="AN19" s="175"/>
      <c r="AO19" s="134" t="s">
        <v>201</v>
      </c>
    </row>
    <row r="20" spans="2:44" ht="25.5" customHeight="1" x14ac:dyDescent="0.15">
      <c r="B20" s="406"/>
      <c r="C20" s="335" t="s">
        <v>178</v>
      </c>
      <c r="D20" s="166">
        <f t="shared" ref="D20:L20" si="10">SUM(D16:D19)</f>
        <v>0</v>
      </c>
      <c r="E20" s="167">
        <f t="shared" si="10"/>
        <v>0</v>
      </c>
      <c r="F20" s="167">
        <f t="shared" si="10"/>
        <v>0</v>
      </c>
      <c r="G20" s="167">
        <f t="shared" si="10"/>
        <v>0</v>
      </c>
      <c r="H20" s="167">
        <f t="shared" si="10"/>
        <v>0</v>
      </c>
      <c r="I20" s="167">
        <f t="shared" si="10"/>
        <v>0</v>
      </c>
      <c r="J20" s="167">
        <f t="shared" si="10"/>
        <v>0</v>
      </c>
      <c r="K20" s="168">
        <f t="shared" si="10"/>
        <v>0</v>
      </c>
      <c r="L20" s="167">
        <f t="shared" si="10"/>
        <v>0</v>
      </c>
      <c r="M20" s="167">
        <f t="shared" si="1"/>
        <v>0</v>
      </c>
      <c r="N20" s="168">
        <f t="shared" ref="N20:V20" si="11">SUM(N16:N19)</f>
        <v>449460</v>
      </c>
      <c r="O20" s="167">
        <f t="shared" si="11"/>
        <v>0</v>
      </c>
      <c r="P20" s="167">
        <f t="shared" si="11"/>
        <v>0</v>
      </c>
      <c r="Q20" s="167">
        <f t="shared" si="11"/>
        <v>0</v>
      </c>
      <c r="R20" s="167">
        <f t="shared" si="11"/>
        <v>270062.163</v>
      </c>
      <c r="S20" s="167">
        <f t="shared" si="11"/>
        <v>0</v>
      </c>
      <c r="T20" s="167">
        <f t="shared" si="11"/>
        <v>0</v>
      </c>
      <c r="U20" s="167">
        <f t="shared" si="11"/>
        <v>40892.400000000001</v>
      </c>
      <c r="V20" s="167">
        <f t="shared" si="11"/>
        <v>0</v>
      </c>
      <c r="W20" s="168">
        <f t="shared" si="3"/>
        <v>760414.56299999997</v>
      </c>
      <c r="X20" s="170">
        <f t="shared" si="4"/>
        <v>760414.56299999997</v>
      </c>
      <c r="Y20" s="136" t="s">
        <v>178</v>
      </c>
      <c r="Z20" s="201"/>
      <c r="AA20" s="406"/>
      <c r="AB20" s="59" t="s">
        <v>179</v>
      </c>
      <c r="AC20" s="166">
        <f>SUM(AC16:AC19)</f>
        <v>41057</v>
      </c>
      <c r="AD20" s="167">
        <f>SUM(AD16:AD19)</f>
        <v>0</v>
      </c>
      <c r="AE20" s="167">
        <f t="shared" si="5"/>
        <v>41057</v>
      </c>
      <c r="AF20" s="167">
        <f>SUM(AF16:AF19)</f>
        <v>389885.47600000002</v>
      </c>
      <c r="AG20" s="167">
        <f>SUM(AG16:AG19)</f>
        <v>0</v>
      </c>
      <c r="AH20" s="167">
        <f>SUM(AH16:AH19)</f>
        <v>0</v>
      </c>
      <c r="AI20" s="167">
        <f t="shared" si="6"/>
        <v>0</v>
      </c>
      <c r="AJ20" s="170">
        <f t="shared" si="7"/>
        <v>430942.47600000002</v>
      </c>
      <c r="AK20" s="166">
        <f>SUM(AK16:AK19)</f>
        <v>0</v>
      </c>
      <c r="AL20" s="167">
        <f>SUM(AL16:AL19)</f>
        <v>0</v>
      </c>
      <c r="AM20" s="167">
        <f>SUM(AM16:AM19)</f>
        <v>192.238</v>
      </c>
      <c r="AN20" s="170">
        <f>SUM(AN16:AN19)</f>
        <v>11534.28</v>
      </c>
      <c r="AO20" s="136" t="s">
        <v>179</v>
      </c>
      <c r="AP20" s="46"/>
      <c r="AQ20" s="46"/>
      <c r="AR20" s="46"/>
    </row>
    <row r="21" spans="2:44" s="56" customFormat="1" ht="25.5" customHeight="1" x14ac:dyDescent="0.15">
      <c r="B21" s="464" t="s">
        <v>202</v>
      </c>
      <c r="C21" s="465"/>
      <c r="D21" s="171">
        <f t="shared" ref="D21:X21" si="12">((D10+D15)+D20)</f>
        <v>0</v>
      </c>
      <c r="E21" s="172">
        <f t="shared" si="12"/>
        <v>0</v>
      </c>
      <c r="F21" s="172">
        <f t="shared" si="12"/>
        <v>0</v>
      </c>
      <c r="G21" s="172">
        <f t="shared" si="12"/>
        <v>0</v>
      </c>
      <c r="H21" s="172">
        <f t="shared" si="12"/>
        <v>0</v>
      </c>
      <c r="I21" s="172">
        <f t="shared" si="12"/>
        <v>0</v>
      </c>
      <c r="J21" s="172">
        <f t="shared" si="12"/>
        <v>0</v>
      </c>
      <c r="K21" s="172">
        <f t="shared" si="12"/>
        <v>0</v>
      </c>
      <c r="L21" s="172">
        <f t="shared" si="12"/>
        <v>0</v>
      </c>
      <c r="M21" s="172">
        <f t="shared" si="12"/>
        <v>0</v>
      </c>
      <c r="N21" s="172">
        <f t="shared" si="12"/>
        <v>449460</v>
      </c>
      <c r="O21" s="172">
        <f t="shared" si="12"/>
        <v>0</v>
      </c>
      <c r="P21" s="172">
        <f t="shared" si="12"/>
        <v>0</v>
      </c>
      <c r="Q21" s="172">
        <f t="shared" si="12"/>
        <v>0</v>
      </c>
      <c r="R21" s="172">
        <f t="shared" si="12"/>
        <v>311530.65500000003</v>
      </c>
      <c r="S21" s="172">
        <f t="shared" si="12"/>
        <v>0</v>
      </c>
      <c r="T21" s="172">
        <f t="shared" si="12"/>
        <v>0</v>
      </c>
      <c r="U21" s="172">
        <f t="shared" si="12"/>
        <v>40892.400000000001</v>
      </c>
      <c r="V21" s="172">
        <f t="shared" si="12"/>
        <v>0</v>
      </c>
      <c r="W21" s="172">
        <f t="shared" si="12"/>
        <v>801883.05499999993</v>
      </c>
      <c r="X21" s="173">
        <f t="shared" si="12"/>
        <v>801883.05499999993</v>
      </c>
      <c r="Y21" s="137" t="s">
        <v>91</v>
      </c>
      <c r="Z21" s="202"/>
      <c r="AA21" s="464" t="s">
        <v>90</v>
      </c>
      <c r="AB21" s="465"/>
      <c r="AC21" s="171">
        <f>((AC10+AC15)+AC20)</f>
        <v>136603.14600000001</v>
      </c>
      <c r="AD21" s="172">
        <f t="shared" ref="AD21:AN21" si="13">((AD10+AD15)+AD20)</f>
        <v>0</v>
      </c>
      <c r="AE21" s="172">
        <f t="shared" si="13"/>
        <v>136603.14600000001</v>
      </c>
      <c r="AF21" s="172">
        <f t="shared" si="13"/>
        <v>907188.30099999998</v>
      </c>
      <c r="AG21" s="172">
        <f t="shared" si="13"/>
        <v>0</v>
      </c>
      <c r="AH21" s="172">
        <f t="shared" si="13"/>
        <v>0</v>
      </c>
      <c r="AI21" s="172">
        <f t="shared" si="13"/>
        <v>0</v>
      </c>
      <c r="AJ21" s="173">
        <f t="shared" si="13"/>
        <v>1043791.447</v>
      </c>
      <c r="AK21" s="171">
        <f t="shared" si="13"/>
        <v>1409.0509999999999</v>
      </c>
      <c r="AL21" s="172">
        <f t="shared" si="13"/>
        <v>214115.511</v>
      </c>
      <c r="AM21" s="172">
        <f t="shared" si="13"/>
        <v>192.238</v>
      </c>
      <c r="AN21" s="173">
        <f t="shared" si="13"/>
        <v>11534.28</v>
      </c>
      <c r="AO21" s="137" t="s">
        <v>156</v>
      </c>
      <c r="AP21" s="55"/>
      <c r="AQ21" s="55"/>
      <c r="AR21" s="55"/>
    </row>
    <row r="22" spans="2:44" ht="23.1" customHeight="1" x14ac:dyDescent="0.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</sheetData>
  <mergeCells count="45">
    <mergeCell ref="X3:Y3"/>
    <mergeCell ref="AI3:AJ3"/>
    <mergeCell ref="AB4:AB6"/>
    <mergeCell ref="AO4:AO6"/>
    <mergeCell ref="AK4:AL4"/>
    <mergeCell ref="AM4:AN4"/>
    <mergeCell ref="AL5:AL6"/>
    <mergeCell ref="AM5:AM6"/>
    <mergeCell ref="AN5:AN6"/>
    <mergeCell ref="AH5:AH6"/>
    <mergeCell ref="AI5:AI6"/>
    <mergeCell ref="AK5:AK6"/>
    <mergeCell ref="AG4:AI4"/>
    <mergeCell ref="AE5:AE6"/>
    <mergeCell ref="AF4:AF5"/>
    <mergeCell ref="AG5:AG6"/>
    <mergeCell ref="AN3:AO3"/>
    <mergeCell ref="B4:B6"/>
    <mergeCell ref="B7:B10"/>
    <mergeCell ref="AA7:AA10"/>
    <mergeCell ref="AC5:AC6"/>
    <mergeCell ref="AD5:AD6"/>
    <mergeCell ref="C4:C6"/>
    <mergeCell ref="Y4:Y6"/>
    <mergeCell ref="AA4:AA6"/>
    <mergeCell ref="D5:G5"/>
    <mergeCell ref="H5:K5"/>
    <mergeCell ref="N4:W4"/>
    <mergeCell ref="M5:M6"/>
    <mergeCell ref="D4:M4"/>
    <mergeCell ref="N5:Q5"/>
    <mergeCell ref="R5:U5"/>
    <mergeCell ref="A12:A14"/>
    <mergeCell ref="Z12:Z14"/>
    <mergeCell ref="B21:C21"/>
    <mergeCell ref="AA21:AB21"/>
    <mergeCell ref="AC4:AE4"/>
    <mergeCell ref="B11:B15"/>
    <mergeCell ref="B16:B20"/>
    <mergeCell ref="AA11:AA15"/>
    <mergeCell ref="L5:L6"/>
    <mergeCell ref="AA16:AA20"/>
    <mergeCell ref="X4:X6"/>
    <mergeCell ref="V5:V6"/>
    <mergeCell ref="W5:W6"/>
  </mergeCells>
  <phoneticPr fontId="1"/>
  <printOptions horizontalCentered="1" gridLinesSet="0"/>
  <pageMargins left="0.27559055118110237" right="0.39370078740157483" top="0.59055118110236227" bottom="0.59055118110236227" header="0.51181102362204722" footer="0.51181102362204722"/>
  <pageSetup paperSize="9" scale="89" firstPageNumber="59" orientation="landscape" useFirstPageNumber="1" r:id="rId1"/>
  <headerFooter alignWithMargins="0"/>
  <colBreaks count="1" manualBreakCount="1">
    <brk id="25" max="20" man="1"/>
  </colBreaks>
  <ignoredErrors>
    <ignoredError sqref="M20 AE10:AE20 M10:M15" formula="1"/>
    <ignoredError sqref="AF11:AF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0070C0"/>
  </sheetPr>
  <dimension ref="A1:DD21"/>
  <sheetViews>
    <sheetView showWhiteSpace="0" view="pageBreakPreview" zoomScale="115" zoomScaleNormal="90" zoomScaleSheetLayoutView="115" workbookViewId="0">
      <selection activeCell="CO5" sqref="CO5"/>
    </sheetView>
  </sheetViews>
  <sheetFormatPr defaultColWidth="10.625" defaultRowHeight="23.1" customHeight="1" x14ac:dyDescent="0.15"/>
  <cols>
    <col min="1" max="1" width="2.75" style="5" customWidth="1"/>
    <col min="2" max="2" width="2.5" style="5" customWidth="1"/>
    <col min="3" max="3" width="9.75" style="5" customWidth="1"/>
    <col min="4" max="4" width="4.625" style="5" customWidth="1"/>
    <col min="5" max="5" width="8" style="5" bestFit="1" customWidth="1"/>
    <col min="6" max="6" width="3.75" style="5" customWidth="1"/>
    <col min="7" max="7" width="8.25" style="5" customWidth="1"/>
    <col min="8" max="8" width="5.875" style="5" customWidth="1"/>
    <col min="9" max="9" width="5" style="5" customWidth="1"/>
    <col min="10" max="10" width="6.875" style="5" bestFit="1" customWidth="1"/>
    <col min="11" max="11" width="4.75" style="5" customWidth="1"/>
    <col min="12" max="12" width="6.5" style="5" customWidth="1"/>
    <col min="13" max="13" width="8" style="5" bestFit="1" customWidth="1"/>
    <col min="14" max="16" width="4" style="5" customWidth="1"/>
    <col min="17" max="17" width="5.25" style="5" customWidth="1"/>
    <col min="18" max="18" width="7.125" style="5" customWidth="1"/>
    <col min="19" max="19" width="4.75" style="5" customWidth="1"/>
    <col min="20" max="20" width="6.875" style="5" customWidth="1"/>
    <col min="21" max="21" width="6.625" style="5" customWidth="1"/>
    <col min="22" max="22" width="6.5" style="5" customWidth="1"/>
    <col min="23" max="23" width="7" style="5" customWidth="1"/>
    <col min="24" max="24" width="9.75" style="2" customWidth="1"/>
    <col min="25" max="25" width="2.75" style="2" customWidth="1"/>
    <col min="26" max="26" width="2.5" style="2" customWidth="1"/>
    <col min="27" max="27" width="10.25" style="2" customWidth="1"/>
    <col min="28" max="28" width="7.5" style="5" customWidth="1"/>
    <col min="29" max="30" width="7.125" style="5" customWidth="1"/>
    <col min="31" max="31" width="5.625" style="5" customWidth="1"/>
    <col min="32" max="32" width="5.25" style="5" customWidth="1"/>
    <col min="33" max="33" width="5.75" style="5" customWidth="1"/>
    <col min="34" max="34" width="6.625" style="5" customWidth="1"/>
    <col min="35" max="35" width="7.125" style="5" customWidth="1"/>
    <col min="36" max="37" width="5.125" style="5" customWidth="1"/>
    <col min="38" max="38" width="6" style="5" customWidth="1"/>
    <col min="39" max="39" width="7.125" style="5" customWidth="1"/>
    <col min="40" max="40" width="1.125" style="5" customWidth="1"/>
    <col min="41" max="41" width="7.375" style="5" customWidth="1"/>
    <col min="42" max="42" width="6.75" style="5" customWidth="1"/>
    <col min="43" max="43" width="6.875" style="5" bestFit="1" customWidth="1"/>
    <col min="44" max="44" width="5.625" style="5" customWidth="1"/>
    <col min="45" max="45" width="6.875" style="5" bestFit="1" customWidth="1"/>
    <col min="46" max="46" width="10.25" style="2" customWidth="1"/>
    <col min="47" max="47" width="2.75" style="2" customWidth="1"/>
    <col min="48" max="48" width="2.5" style="2" customWidth="1"/>
    <col min="49" max="49" width="10.25" style="2" customWidth="1"/>
    <col min="50" max="52" width="5.5" style="5" customWidth="1"/>
    <col min="53" max="53" width="5.625" style="5" customWidth="1"/>
    <col min="54" max="55" width="5.5" style="5" customWidth="1"/>
    <col min="56" max="56" width="5.75" style="5" customWidth="1"/>
    <col min="57" max="57" width="7.125" style="5" customWidth="1"/>
    <col min="58" max="61" width="5.5" style="5" customWidth="1"/>
    <col min="62" max="62" width="6.625" style="5" customWidth="1"/>
    <col min="63" max="64" width="7.125" style="5" customWidth="1"/>
    <col min="65" max="65" width="5.125" style="5" customWidth="1"/>
    <col min="66" max="66" width="7" style="5" customWidth="1"/>
    <col min="67" max="67" width="7.625" style="5" customWidth="1"/>
    <col min="68" max="68" width="10.25" style="2" customWidth="1"/>
    <col min="69" max="69" width="3.5" style="2" customWidth="1"/>
    <col min="70" max="70" width="2.5" style="2" customWidth="1"/>
    <col min="71" max="71" width="9.5" style="2" customWidth="1"/>
    <col min="72" max="72" width="5.625" style="5" customWidth="1"/>
    <col min="73" max="75" width="4.75" style="5" customWidth="1"/>
    <col min="76" max="76" width="5.375" style="5" customWidth="1"/>
    <col min="77" max="77" width="4" style="5" customWidth="1"/>
    <col min="78" max="78" width="4.75" style="5" customWidth="1"/>
    <col min="79" max="79" width="7.125" style="5" customWidth="1"/>
    <col min="80" max="80" width="6.125" style="5" customWidth="1"/>
    <col min="81" max="81" width="5.375" style="5" customWidth="1"/>
    <col min="82" max="82" width="5.5" style="5" customWidth="1"/>
    <col min="83" max="83" width="6.875" style="5" bestFit="1" customWidth="1"/>
    <col min="84" max="84" width="5.125" style="5" customWidth="1"/>
    <col min="85" max="85" width="6.875" style="5" bestFit="1" customWidth="1"/>
    <col min="86" max="86" width="8.875" style="5" bestFit="1" customWidth="1"/>
    <col min="87" max="87" width="7" style="5" customWidth="1"/>
    <col min="88" max="88" width="8.25" style="5" bestFit="1" customWidth="1"/>
    <col min="89" max="89" width="7.875" style="5" customWidth="1"/>
    <col min="90" max="90" width="7.25" style="5" customWidth="1"/>
    <col min="91" max="91" width="9.5" style="2" customWidth="1"/>
    <col min="92" max="108" width="10.625" style="5" customWidth="1"/>
    <col min="109" max="16384" width="10.625" style="5"/>
  </cols>
  <sheetData>
    <row r="1" spans="1:108" ht="22.5" customHeight="1" x14ac:dyDescent="0.15">
      <c r="B1" s="32"/>
      <c r="C1" s="32"/>
      <c r="D1" s="32"/>
      <c r="E1" s="33" t="s">
        <v>29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1"/>
      <c r="AA1" s="21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1"/>
      <c r="AU1" s="1"/>
      <c r="AV1" s="1"/>
      <c r="AW1" s="21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1"/>
      <c r="BQ1" s="1"/>
      <c r="BR1" s="1"/>
      <c r="BS1" s="21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1"/>
      <c r="CN1" s="32"/>
    </row>
    <row r="2" spans="1:108" ht="23.25" customHeight="1" x14ac:dyDescent="0.15">
      <c r="B2" s="176" t="s">
        <v>168</v>
      </c>
      <c r="C2" s="178"/>
      <c r="D2" s="17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  <c r="Y2" s="1"/>
      <c r="Z2" s="22"/>
      <c r="AA2" s="2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1"/>
      <c r="AU2" s="1"/>
      <c r="AV2" s="22"/>
      <c r="AW2" s="23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1"/>
      <c r="BQ2" s="1"/>
      <c r="BR2" s="22"/>
      <c r="BS2" s="23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1"/>
      <c r="CN2" s="32"/>
    </row>
    <row r="3" spans="1:108" ht="23.25" customHeight="1" x14ac:dyDescent="0.15">
      <c r="B3" s="177" t="s">
        <v>287</v>
      </c>
      <c r="C3" s="177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531" t="s">
        <v>243</v>
      </c>
      <c r="X3" s="531"/>
      <c r="Y3" s="204"/>
      <c r="Z3" s="24"/>
      <c r="AA3" s="177" t="s">
        <v>288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2"/>
      <c r="AO3" s="34"/>
      <c r="AP3" s="34"/>
      <c r="AQ3" s="34"/>
      <c r="AR3" s="34"/>
      <c r="AS3" s="531" t="s">
        <v>243</v>
      </c>
      <c r="AT3" s="531"/>
      <c r="AU3" s="204"/>
      <c r="AV3" s="24"/>
      <c r="AW3" s="177" t="s">
        <v>289</v>
      </c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531" t="s">
        <v>244</v>
      </c>
      <c r="BP3" s="531"/>
      <c r="BQ3" s="204"/>
      <c r="BR3" s="24"/>
      <c r="BS3" s="177" t="s">
        <v>288</v>
      </c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531" t="s">
        <v>243</v>
      </c>
      <c r="CM3" s="531"/>
      <c r="CN3" s="32"/>
    </row>
    <row r="4" spans="1:108" ht="24.75" customHeight="1" x14ac:dyDescent="0.15">
      <c r="B4" s="476" t="s">
        <v>53</v>
      </c>
      <c r="C4" s="554" t="s">
        <v>271</v>
      </c>
      <c r="D4" s="527" t="s">
        <v>54</v>
      </c>
      <c r="E4" s="527"/>
      <c r="F4" s="527"/>
      <c r="G4" s="527"/>
      <c r="H4" s="527"/>
      <c r="I4" s="527"/>
      <c r="J4" s="527"/>
      <c r="K4" s="527"/>
      <c r="L4" s="527"/>
      <c r="M4" s="536"/>
      <c r="N4" s="560" t="s">
        <v>55</v>
      </c>
      <c r="O4" s="560"/>
      <c r="P4" s="560"/>
      <c r="Q4" s="560" t="s">
        <v>217</v>
      </c>
      <c r="R4" s="560"/>
      <c r="S4" s="560"/>
      <c r="T4" s="560"/>
      <c r="U4" s="560"/>
      <c r="V4" s="535"/>
      <c r="W4" s="572"/>
      <c r="X4" s="481" t="s">
        <v>204</v>
      </c>
      <c r="Y4" s="200"/>
      <c r="Z4" s="484" t="s">
        <v>53</v>
      </c>
      <c r="AA4" s="508" t="s">
        <v>203</v>
      </c>
      <c r="AB4" s="526" t="s">
        <v>56</v>
      </c>
      <c r="AC4" s="527"/>
      <c r="AD4" s="527"/>
      <c r="AE4" s="527"/>
      <c r="AF4" s="527"/>
      <c r="AG4" s="527"/>
      <c r="AH4" s="527"/>
      <c r="AI4" s="536"/>
      <c r="AJ4" s="548" t="s">
        <v>50</v>
      </c>
      <c r="AK4" s="548" t="s">
        <v>49</v>
      </c>
      <c r="AL4" s="532" t="s">
        <v>241</v>
      </c>
      <c r="AM4" s="551" t="s">
        <v>39</v>
      </c>
      <c r="AN4" s="6"/>
      <c r="AO4" s="526" t="s">
        <v>57</v>
      </c>
      <c r="AP4" s="527"/>
      <c r="AQ4" s="527"/>
      <c r="AR4" s="527"/>
      <c r="AS4" s="528"/>
      <c r="AT4" s="540" t="s">
        <v>272</v>
      </c>
      <c r="AU4" s="207"/>
      <c r="AV4" s="520" t="s">
        <v>53</v>
      </c>
      <c r="AW4" s="568" t="s">
        <v>203</v>
      </c>
      <c r="AX4" s="566" t="s">
        <v>58</v>
      </c>
      <c r="AY4" s="567"/>
      <c r="AZ4" s="567"/>
      <c r="BA4" s="567"/>
      <c r="BB4" s="567"/>
      <c r="BC4" s="567" t="s">
        <v>59</v>
      </c>
      <c r="BD4" s="567"/>
      <c r="BE4" s="567"/>
      <c r="BF4" s="567"/>
      <c r="BG4" s="567"/>
      <c r="BH4" s="567"/>
      <c r="BI4" s="567"/>
      <c r="BJ4" s="567"/>
      <c r="BK4" s="571"/>
      <c r="BL4" s="538" t="s">
        <v>157</v>
      </c>
      <c r="BM4" s="539"/>
      <c r="BN4" s="539"/>
      <c r="BO4" s="539"/>
      <c r="BP4" s="511" t="s">
        <v>203</v>
      </c>
      <c r="BQ4" s="208"/>
      <c r="BR4" s="484" t="s">
        <v>53</v>
      </c>
      <c r="BS4" s="508" t="s">
        <v>203</v>
      </c>
      <c r="BT4" s="535" t="s">
        <v>93</v>
      </c>
      <c r="BU4" s="527"/>
      <c r="BV4" s="527"/>
      <c r="BW4" s="527"/>
      <c r="BX4" s="536"/>
      <c r="BY4" s="532" t="s">
        <v>238</v>
      </c>
      <c r="BZ4" s="532" t="s">
        <v>237</v>
      </c>
      <c r="CA4" s="35"/>
      <c r="CB4" s="526" t="s">
        <v>236</v>
      </c>
      <c r="CC4" s="527"/>
      <c r="CD4" s="527"/>
      <c r="CE4" s="527"/>
      <c r="CF4" s="527"/>
      <c r="CG4" s="527"/>
      <c r="CH4" s="527"/>
      <c r="CI4" s="527"/>
      <c r="CJ4" s="527"/>
      <c r="CK4" s="528"/>
      <c r="CL4" s="523" t="s">
        <v>273</v>
      </c>
      <c r="CM4" s="540" t="s">
        <v>203</v>
      </c>
      <c r="CN4" s="4"/>
    </row>
    <row r="5" spans="1:108" ht="24.75" customHeight="1" x14ac:dyDescent="0.15">
      <c r="B5" s="477"/>
      <c r="C5" s="555"/>
      <c r="D5" s="516" t="s">
        <v>60</v>
      </c>
      <c r="E5" s="514" t="s">
        <v>299</v>
      </c>
      <c r="F5" s="518" t="s">
        <v>61</v>
      </c>
      <c r="G5" s="557" t="s">
        <v>316</v>
      </c>
      <c r="H5" s="558"/>
      <c r="I5" s="558"/>
      <c r="J5" s="559"/>
      <c r="K5" s="506" t="s">
        <v>240</v>
      </c>
      <c r="L5" s="506" t="s">
        <v>173</v>
      </c>
      <c r="M5" s="514" t="s">
        <v>17</v>
      </c>
      <c r="N5" s="561" t="s">
        <v>62</v>
      </c>
      <c r="O5" s="506" t="s">
        <v>95</v>
      </c>
      <c r="P5" s="514" t="s">
        <v>17</v>
      </c>
      <c r="Q5" s="506" t="s">
        <v>227</v>
      </c>
      <c r="R5" s="506" t="s">
        <v>342</v>
      </c>
      <c r="S5" s="518" t="s">
        <v>339</v>
      </c>
      <c r="T5" s="506" t="s">
        <v>312</v>
      </c>
      <c r="U5" s="506" t="s">
        <v>63</v>
      </c>
      <c r="V5" s="506" t="s">
        <v>173</v>
      </c>
      <c r="W5" s="546" t="s">
        <v>17</v>
      </c>
      <c r="X5" s="482"/>
      <c r="Y5" s="200"/>
      <c r="Z5" s="485"/>
      <c r="AA5" s="509"/>
      <c r="AB5" s="292" t="s">
        <v>307</v>
      </c>
      <c r="AC5" s="291" t="s">
        <v>30</v>
      </c>
      <c r="AD5" s="514" t="s">
        <v>158</v>
      </c>
      <c r="AE5" s="291" t="s">
        <v>159</v>
      </c>
      <c r="AF5" s="291" t="s">
        <v>160</v>
      </c>
      <c r="AG5" s="514" t="s">
        <v>38</v>
      </c>
      <c r="AH5" s="291" t="s">
        <v>161</v>
      </c>
      <c r="AI5" s="514" t="s">
        <v>17</v>
      </c>
      <c r="AJ5" s="549"/>
      <c r="AK5" s="549"/>
      <c r="AL5" s="533"/>
      <c r="AM5" s="552"/>
      <c r="AN5" s="6"/>
      <c r="AO5" s="573" t="s">
        <v>64</v>
      </c>
      <c r="AP5" s="574"/>
      <c r="AQ5" s="575"/>
      <c r="AR5" s="506" t="s">
        <v>242</v>
      </c>
      <c r="AS5" s="564" t="s">
        <v>17</v>
      </c>
      <c r="AT5" s="541"/>
      <c r="AU5" s="207"/>
      <c r="AV5" s="521"/>
      <c r="AW5" s="569"/>
      <c r="AX5" s="565" t="s">
        <v>309</v>
      </c>
      <c r="AY5" s="514" t="s">
        <v>311</v>
      </c>
      <c r="AZ5" s="518" t="s">
        <v>65</v>
      </c>
      <c r="BA5" s="518" t="s">
        <v>172</v>
      </c>
      <c r="BB5" s="514" t="s">
        <v>313</v>
      </c>
      <c r="BC5" s="514" t="s">
        <v>42</v>
      </c>
      <c r="BD5" s="518" t="s">
        <v>66</v>
      </c>
      <c r="BE5" s="506" t="s">
        <v>67</v>
      </c>
      <c r="BF5" s="518" t="s">
        <v>68</v>
      </c>
      <c r="BG5" s="518" t="s">
        <v>69</v>
      </c>
      <c r="BH5" s="518" t="s">
        <v>165</v>
      </c>
      <c r="BI5" s="518" t="s">
        <v>92</v>
      </c>
      <c r="BJ5" s="506" t="s">
        <v>70</v>
      </c>
      <c r="BK5" s="546" t="s">
        <v>17</v>
      </c>
      <c r="BL5" s="292" t="s">
        <v>71</v>
      </c>
      <c r="BM5" s="291" t="s">
        <v>72</v>
      </c>
      <c r="BN5" s="506" t="s">
        <v>94</v>
      </c>
      <c r="BO5" s="529" t="s">
        <v>17</v>
      </c>
      <c r="BP5" s="512"/>
      <c r="BQ5" s="208"/>
      <c r="BR5" s="485"/>
      <c r="BS5" s="509"/>
      <c r="BT5" s="506" t="s">
        <v>341</v>
      </c>
      <c r="BU5" s="506" t="s">
        <v>171</v>
      </c>
      <c r="BV5" s="506" t="s">
        <v>170</v>
      </c>
      <c r="BW5" s="537" t="s">
        <v>281</v>
      </c>
      <c r="BX5" s="514" t="s">
        <v>17</v>
      </c>
      <c r="BY5" s="533"/>
      <c r="BZ5" s="533"/>
      <c r="CA5" s="141" t="s">
        <v>31</v>
      </c>
      <c r="CB5" s="516" t="s">
        <v>43</v>
      </c>
      <c r="CC5" s="42" t="s">
        <v>162</v>
      </c>
      <c r="CD5" s="529" t="s">
        <v>174</v>
      </c>
      <c r="CE5" s="545"/>
      <c r="CF5" s="54" t="s">
        <v>73</v>
      </c>
      <c r="CG5" s="291" t="s">
        <v>32</v>
      </c>
      <c r="CH5" s="529" t="s">
        <v>74</v>
      </c>
      <c r="CI5" s="530"/>
      <c r="CJ5" s="543" t="s">
        <v>340</v>
      </c>
      <c r="CK5" s="546" t="s">
        <v>317</v>
      </c>
      <c r="CL5" s="524"/>
      <c r="CM5" s="541"/>
      <c r="CN5" s="4"/>
    </row>
    <row r="6" spans="1:108" ht="24.75" customHeight="1" x14ac:dyDescent="0.15">
      <c r="B6" s="478"/>
      <c r="C6" s="556"/>
      <c r="D6" s="517"/>
      <c r="E6" s="507"/>
      <c r="F6" s="519"/>
      <c r="G6" s="41" t="s">
        <v>33</v>
      </c>
      <c r="H6" s="41" t="s">
        <v>34</v>
      </c>
      <c r="I6" s="41" t="s">
        <v>35</v>
      </c>
      <c r="J6" s="51" t="s">
        <v>75</v>
      </c>
      <c r="K6" s="507"/>
      <c r="L6" s="515"/>
      <c r="M6" s="507"/>
      <c r="N6" s="562"/>
      <c r="O6" s="507"/>
      <c r="P6" s="507"/>
      <c r="Q6" s="507"/>
      <c r="R6" s="507"/>
      <c r="S6" s="519"/>
      <c r="T6" s="507"/>
      <c r="U6" s="507"/>
      <c r="V6" s="515"/>
      <c r="W6" s="547"/>
      <c r="X6" s="483"/>
      <c r="Y6" s="200"/>
      <c r="Z6" s="486"/>
      <c r="AA6" s="510"/>
      <c r="AB6" s="293" t="s">
        <v>306</v>
      </c>
      <c r="AC6" s="290" t="s">
        <v>36</v>
      </c>
      <c r="AD6" s="507"/>
      <c r="AE6" s="290" t="s">
        <v>76</v>
      </c>
      <c r="AF6" s="290" t="s">
        <v>315</v>
      </c>
      <c r="AG6" s="507"/>
      <c r="AH6" s="290" t="s">
        <v>37</v>
      </c>
      <c r="AI6" s="507"/>
      <c r="AJ6" s="550"/>
      <c r="AK6" s="550"/>
      <c r="AL6" s="534"/>
      <c r="AM6" s="553"/>
      <c r="AN6" s="6"/>
      <c r="AO6" s="43" t="s">
        <v>40</v>
      </c>
      <c r="AP6" s="36" t="s">
        <v>41</v>
      </c>
      <c r="AQ6" s="37" t="s">
        <v>77</v>
      </c>
      <c r="AR6" s="507"/>
      <c r="AS6" s="553"/>
      <c r="AT6" s="542"/>
      <c r="AU6" s="207"/>
      <c r="AV6" s="522"/>
      <c r="AW6" s="570"/>
      <c r="AX6" s="517"/>
      <c r="AY6" s="507"/>
      <c r="AZ6" s="519"/>
      <c r="BA6" s="519"/>
      <c r="BB6" s="507"/>
      <c r="BC6" s="507"/>
      <c r="BD6" s="519"/>
      <c r="BE6" s="507"/>
      <c r="BF6" s="519"/>
      <c r="BG6" s="519"/>
      <c r="BH6" s="519"/>
      <c r="BI6" s="519"/>
      <c r="BJ6" s="507"/>
      <c r="BK6" s="547"/>
      <c r="BL6" s="293" t="s">
        <v>308</v>
      </c>
      <c r="BM6" s="290" t="s">
        <v>163</v>
      </c>
      <c r="BN6" s="507"/>
      <c r="BO6" s="563"/>
      <c r="BP6" s="513"/>
      <c r="BQ6" s="208"/>
      <c r="BR6" s="486"/>
      <c r="BS6" s="510"/>
      <c r="BT6" s="507"/>
      <c r="BU6" s="507"/>
      <c r="BV6" s="507"/>
      <c r="BW6" s="507"/>
      <c r="BX6" s="507"/>
      <c r="BY6" s="534"/>
      <c r="BZ6" s="534"/>
      <c r="CA6" s="39"/>
      <c r="CB6" s="517"/>
      <c r="CC6" s="290" t="s">
        <v>43</v>
      </c>
      <c r="CD6" s="38" t="s">
        <v>175</v>
      </c>
      <c r="CE6" s="38" t="s">
        <v>176</v>
      </c>
      <c r="CF6" s="53" t="s">
        <v>78</v>
      </c>
      <c r="CG6" s="290" t="s">
        <v>305</v>
      </c>
      <c r="CH6" s="40"/>
      <c r="CI6" s="41" t="s">
        <v>44</v>
      </c>
      <c r="CJ6" s="544"/>
      <c r="CK6" s="547"/>
      <c r="CL6" s="525"/>
      <c r="CM6" s="542"/>
      <c r="CN6" s="4"/>
    </row>
    <row r="7" spans="1:108" ht="27.75" customHeight="1" x14ac:dyDescent="0.15">
      <c r="B7" s="404" t="s">
        <v>79</v>
      </c>
      <c r="C7" s="57" t="s">
        <v>247</v>
      </c>
      <c r="D7" s="83">
        <v>206.58099999999999</v>
      </c>
      <c r="E7" s="84">
        <v>136882.761</v>
      </c>
      <c r="F7" s="84"/>
      <c r="G7" s="84">
        <v>33210</v>
      </c>
      <c r="H7" s="84"/>
      <c r="I7" s="84"/>
      <c r="J7" s="85">
        <f>SUM(G7:I7)</f>
        <v>33210</v>
      </c>
      <c r="K7" s="84">
        <v>571.25099999999998</v>
      </c>
      <c r="L7" s="86">
        <v>-33210</v>
      </c>
      <c r="M7" s="85">
        <f>D7+E7+F7+J7+K7+L7</f>
        <v>137660.59299999999</v>
      </c>
      <c r="N7" s="84"/>
      <c r="O7" s="84">
        <v>1.0820000000000001</v>
      </c>
      <c r="P7" s="87">
        <f>(N7+O7)</f>
        <v>1.0820000000000001</v>
      </c>
      <c r="Q7" s="84"/>
      <c r="R7" s="84">
        <v>9641.6299999999992</v>
      </c>
      <c r="S7" s="84"/>
      <c r="T7" s="84">
        <v>3277.5430000000001</v>
      </c>
      <c r="U7" s="84">
        <v>871.08100000000002</v>
      </c>
      <c r="V7" s="88">
        <v>-227.239</v>
      </c>
      <c r="W7" s="89">
        <f>SUM(Q7:V7)</f>
        <v>13563.014999999999</v>
      </c>
      <c r="X7" s="133" t="s">
        <v>80</v>
      </c>
      <c r="Y7" s="201"/>
      <c r="Z7" s="404" t="s">
        <v>79</v>
      </c>
      <c r="AA7" s="57" t="s">
        <v>80</v>
      </c>
      <c r="AB7" s="108">
        <v>312473.84000000003</v>
      </c>
      <c r="AC7" s="109">
        <v>137658.41800000001</v>
      </c>
      <c r="AD7" s="84">
        <v>162494.55499999999</v>
      </c>
      <c r="AE7" s="84"/>
      <c r="AF7" s="84"/>
      <c r="AG7" s="84">
        <v>25190</v>
      </c>
      <c r="AH7" s="84">
        <v>2012.46</v>
      </c>
      <c r="AI7" s="85">
        <f>AB7-AC7+AD7+AE7+AF7+AG7+AH7</f>
        <v>364512.43700000003</v>
      </c>
      <c r="AJ7" s="84"/>
      <c r="AK7" s="84"/>
      <c r="AL7" s="110"/>
      <c r="AM7" s="111">
        <f>M7+P7+W7+AI7+AJ7+AK7+AL7</f>
        <v>515737.12700000004</v>
      </c>
      <c r="AN7" s="6"/>
      <c r="AO7" s="108">
        <v>29060</v>
      </c>
      <c r="AP7" s="84"/>
      <c r="AQ7" s="85">
        <f>(AO7+AP7)</f>
        <v>29060</v>
      </c>
      <c r="AR7" s="84">
        <v>842.53599999999994</v>
      </c>
      <c r="AS7" s="94">
        <f>AQ7+AR7</f>
        <v>29902.536</v>
      </c>
      <c r="AT7" s="133" t="s">
        <v>80</v>
      </c>
      <c r="AU7" s="201"/>
      <c r="AV7" s="404" t="s">
        <v>79</v>
      </c>
      <c r="AW7" s="57" t="s">
        <v>80</v>
      </c>
      <c r="AX7" s="108"/>
      <c r="AY7" s="84">
        <v>499.923</v>
      </c>
      <c r="AZ7" s="84">
        <v>119.44499999999999</v>
      </c>
      <c r="BA7" s="84"/>
      <c r="BB7" s="87">
        <f>SUM(AX7:BA7)</f>
        <v>619.36799999999994</v>
      </c>
      <c r="BC7" s="84"/>
      <c r="BD7" s="84">
        <v>1839.7719999999999</v>
      </c>
      <c r="BE7" s="84">
        <v>145000</v>
      </c>
      <c r="BF7" s="84"/>
      <c r="BG7" s="84"/>
      <c r="BH7" s="84"/>
      <c r="BI7" s="84">
        <v>185</v>
      </c>
      <c r="BJ7" s="84">
        <v>13283.626</v>
      </c>
      <c r="BK7" s="89">
        <f>SUM(BC7:BJ7)</f>
        <v>160308.39799999999</v>
      </c>
      <c r="BL7" s="108">
        <v>327800</v>
      </c>
      <c r="BM7" s="84"/>
      <c r="BN7" s="84">
        <v>196600</v>
      </c>
      <c r="BO7" s="138">
        <f>SUM(BL7:BN7)</f>
        <v>524400</v>
      </c>
      <c r="BP7" s="133" t="s">
        <v>80</v>
      </c>
      <c r="BQ7" s="201"/>
      <c r="BR7" s="404" t="s">
        <v>79</v>
      </c>
      <c r="BS7" s="57" t="s">
        <v>80</v>
      </c>
      <c r="BT7" s="138">
        <v>4537.5479999999998</v>
      </c>
      <c r="BU7" s="138"/>
      <c r="BV7" s="138"/>
      <c r="BW7" s="138"/>
      <c r="BX7" s="138">
        <f>SUM(BT7:BW7)</f>
        <v>4537.5479999999998</v>
      </c>
      <c r="BY7" s="138"/>
      <c r="BZ7" s="138"/>
      <c r="CA7" s="111">
        <f>AS7+BB7+BK7+BO7+BX7+BY7+BZ7</f>
        <v>719767.85</v>
      </c>
      <c r="CB7" s="142">
        <v>70777</v>
      </c>
      <c r="CC7" s="84"/>
      <c r="CD7" s="84">
        <v>13680</v>
      </c>
      <c r="CE7" s="84"/>
      <c r="CF7" s="84"/>
      <c r="CG7" s="84"/>
      <c r="CH7" s="109">
        <v>-288487.723</v>
      </c>
      <c r="CI7" s="86">
        <v>-5383168</v>
      </c>
      <c r="CJ7" s="88"/>
      <c r="CK7" s="143">
        <f>SUM(CB7:CH7)+CJ7</f>
        <v>-204030.723</v>
      </c>
      <c r="CL7" s="144">
        <f>(CA7+CK7)</f>
        <v>515737.12699999998</v>
      </c>
      <c r="CM7" s="57" t="s">
        <v>80</v>
      </c>
      <c r="CN7" s="4"/>
    </row>
    <row r="8" spans="1:108" ht="27.75" customHeight="1" x14ac:dyDescent="0.15">
      <c r="B8" s="405"/>
      <c r="C8" s="58" t="s">
        <v>81</v>
      </c>
      <c r="D8" s="90">
        <v>586.077</v>
      </c>
      <c r="E8" s="91">
        <v>730476.33</v>
      </c>
      <c r="F8" s="91"/>
      <c r="G8" s="91">
        <v>23000</v>
      </c>
      <c r="H8" s="91"/>
      <c r="I8" s="91"/>
      <c r="J8" s="87">
        <f>SUM(G8:I8)</f>
        <v>23000</v>
      </c>
      <c r="K8" s="91">
        <v>3.661</v>
      </c>
      <c r="L8" s="92">
        <v>-70</v>
      </c>
      <c r="M8" s="87">
        <f>D8+E8+F8+J8+K8+L8</f>
        <v>753996.06799999997</v>
      </c>
      <c r="N8" s="91"/>
      <c r="O8" s="91"/>
      <c r="P8" s="87">
        <f>(N8+O8)</f>
        <v>0</v>
      </c>
      <c r="Q8" s="91"/>
      <c r="R8" s="91">
        <v>33958.031000000003</v>
      </c>
      <c r="S8" s="91"/>
      <c r="T8" s="91">
        <v>4422.6499999999996</v>
      </c>
      <c r="U8" s="91">
        <v>11259.698</v>
      </c>
      <c r="V8" s="93">
        <v>-102</v>
      </c>
      <c r="W8" s="94">
        <f>SUM(Q8:V8)</f>
        <v>49538.379000000001</v>
      </c>
      <c r="X8" s="134" t="s">
        <v>81</v>
      </c>
      <c r="Y8" s="201"/>
      <c r="Z8" s="405"/>
      <c r="AA8" s="58" t="s">
        <v>81</v>
      </c>
      <c r="AB8" s="112">
        <v>371743.31199999998</v>
      </c>
      <c r="AC8" s="113">
        <v>183080.38200000001</v>
      </c>
      <c r="AD8" s="91">
        <v>262737.25599999999</v>
      </c>
      <c r="AE8" s="101"/>
      <c r="AF8" s="91">
        <v>1597.4960000000001</v>
      </c>
      <c r="AG8" s="91">
        <v>32430</v>
      </c>
      <c r="AH8" s="91">
        <v>4960.96</v>
      </c>
      <c r="AI8" s="87">
        <f>AB8-AC8+AD8+AE8+AF8+AG8+AH8</f>
        <v>490388.64199999999</v>
      </c>
      <c r="AJ8" s="101"/>
      <c r="AK8" s="91">
        <v>2455.326</v>
      </c>
      <c r="AL8" s="114"/>
      <c r="AM8" s="115">
        <f>M8+P8+W8+AI8+AJ8+AK8+AL8</f>
        <v>1296378.4149999998</v>
      </c>
      <c r="AN8" s="6"/>
      <c r="AO8" s="112"/>
      <c r="AP8" s="91"/>
      <c r="AQ8" s="87">
        <f>(AO8+AP8)</f>
        <v>0</v>
      </c>
      <c r="AR8" s="91">
        <v>101.145</v>
      </c>
      <c r="AS8" s="94">
        <f>AQ8+AR8</f>
        <v>101.145</v>
      </c>
      <c r="AT8" s="134" t="s">
        <v>81</v>
      </c>
      <c r="AU8" s="201"/>
      <c r="AV8" s="405"/>
      <c r="AW8" s="58" t="s">
        <v>81</v>
      </c>
      <c r="AX8" s="112"/>
      <c r="AY8" s="91">
        <v>62.15</v>
      </c>
      <c r="AZ8" s="91">
        <v>31.218</v>
      </c>
      <c r="BA8" s="91"/>
      <c r="BB8" s="87">
        <f>SUM(AX8:BA8)</f>
        <v>93.367999999999995</v>
      </c>
      <c r="BC8" s="91"/>
      <c r="BD8" s="91">
        <v>9999.4179999999997</v>
      </c>
      <c r="BE8" s="91">
        <v>50000</v>
      </c>
      <c r="BF8" s="91"/>
      <c r="BG8" s="91"/>
      <c r="BH8" s="91"/>
      <c r="BI8" s="91">
        <v>11620.8</v>
      </c>
      <c r="BJ8" s="91">
        <v>16869.937000000002</v>
      </c>
      <c r="BK8" s="94">
        <f>SUM(BC8:BJ8)</f>
        <v>88490.154999999999</v>
      </c>
      <c r="BL8" s="112">
        <v>434417</v>
      </c>
      <c r="BM8" s="91"/>
      <c r="BN8" s="91">
        <v>192500</v>
      </c>
      <c r="BO8" s="139">
        <f>SUM(BL8:BN8)</f>
        <v>626917</v>
      </c>
      <c r="BP8" s="134" t="s">
        <v>81</v>
      </c>
      <c r="BQ8" s="201"/>
      <c r="BR8" s="405"/>
      <c r="BS8" s="58" t="s">
        <v>302</v>
      </c>
      <c r="BT8" s="139">
        <v>8715.8250000000007</v>
      </c>
      <c r="BU8" s="139"/>
      <c r="BV8" s="139"/>
      <c r="BW8" s="139"/>
      <c r="BX8" s="139">
        <f t="shared" ref="BX8:BX19" si="0">SUM(BT8:BW8)</f>
        <v>8715.8250000000007</v>
      </c>
      <c r="BY8" s="139"/>
      <c r="BZ8" s="139"/>
      <c r="CA8" s="94">
        <f>AS8+BB8+BK8+BO8+BX8+BY8+BZ8</f>
        <v>724317.49300000002</v>
      </c>
      <c r="CB8" s="131">
        <v>276150</v>
      </c>
      <c r="CC8" s="91"/>
      <c r="CD8" s="91"/>
      <c r="CE8" s="91">
        <v>166500</v>
      </c>
      <c r="CF8" s="91"/>
      <c r="CG8" s="91">
        <v>80000</v>
      </c>
      <c r="CH8" s="113">
        <v>49410.921999999999</v>
      </c>
      <c r="CI8" s="92">
        <v>40190.716999999997</v>
      </c>
      <c r="CJ8" s="93"/>
      <c r="CK8" s="94">
        <f>SUM(CB8:CH8)+CJ8</f>
        <v>572060.92200000002</v>
      </c>
      <c r="CL8" s="145">
        <f>(CA8+CK8)</f>
        <v>1296378.415</v>
      </c>
      <c r="CM8" s="58" t="s">
        <v>275</v>
      </c>
      <c r="CN8" s="4"/>
    </row>
    <row r="9" spans="1:108" ht="27.75" customHeight="1" x14ac:dyDescent="0.15">
      <c r="B9" s="405"/>
      <c r="C9" s="81" t="s">
        <v>218</v>
      </c>
      <c r="D9" s="91">
        <v>53.908000000000001</v>
      </c>
      <c r="E9" s="91">
        <v>128335.02800000001</v>
      </c>
      <c r="F9" s="91"/>
      <c r="G9" s="91"/>
      <c r="H9" s="91"/>
      <c r="I9" s="91"/>
      <c r="J9" s="87">
        <f>SUM(G9:I9)</f>
        <v>0</v>
      </c>
      <c r="K9" s="91"/>
      <c r="L9" s="92"/>
      <c r="M9" s="87">
        <f>D9+E9+F9+J9+K9+L9</f>
        <v>128388.936</v>
      </c>
      <c r="N9" s="91"/>
      <c r="O9" s="91"/>
      <c r="P9" s="87">
        <f>(N9+O9)</f>
        <v>0</v>
      </c>
      <c r="Q9" s="91"/>
      <c r="R9" s="91">
        <v>22685.345000000001</v>
      </c>
      <c r="S9" s="91"/>
      <c r="T9" s="91">
        <v>5999.2550000000001</v>
      </c>
      <c r="U9" s="91"/>
      <c r="V9" s="93">
        <v>-185.11099999999999</v>
      </c>
      <c r="W9" s="94">
        <f>SUM(Q9:V9)</f>
        <v>28499.489000000001</v>
      </c>
      <c r="X9" s="135" t="s">
        <v>218</v>
      </c>
      <c r="Y9" s="205"/>
      <c r="Z9" s="405"/>
      <c r="AA9" s="81" t="s">
        <v>218</v>
      </c>
      <c r="AB9" s="112">
        <v>294745.81199999998</v>
      </c>
      <c r="AC9" s="113">
        <v>219922.747</v>
      </c>
      <c r="AD9" s="91">
        <v>81623.266000000003</v>
      </c>
      <c r="AE9" s="91"/>
      <c r="AF9" s="91">
        <v>244.8</v>
      </c>
      <c r="AG9" s="91">
        <v>11840</v>
      </c>
      <c r="AH9" s="91">
        <v>1000</v>
      </c>
      <c r="AI9" s="87">
        <f t="shared" ref="AI9:AI21" si="1">AB9-AC9+AD9+AE9+AF9+AG9+AH9</f>
        <v>169531.13099999996</v>
      </c>
      <c r="AJ9" s="101"/>
      <c r="AK9" s="116"/>
      <c r="AL9" s="114"/>
      <c r="AM9" s="94">
        <f>M9+P9+W9+AI9+AJ9+AK9+AL9</f>
        <v>326419.55599999998</v>
      </c>
      <c r="AN9" s="6"/>
      <c r="AO9" s="112"/>
      <c r="AP9" s="91"/>
      <c r="AQ9" s="87">
        <f>(AO9+AP9)</f>
        <v>0</v>
      </c>
      <c r="AR9" s="91"/>
      <c r="AS9" s="94">
        <f t="shared" ref="AS9:AS21" si="2">AQ9+AR9</f>
        <v>0</v>
      </c>
      <c r="AT9" s="135" t="s">
        <v>218</v>
      </c>
      <c r="AU9" s="205"/>
      <c r="AV9" s="405"/>
      <c r="AW9" s="81" t="s">
        <v>218</v>
      </c>
      <c r="AX9" s="112"/>
      <c r="AY9" s="91"/>
      <c r="AZ9" s="91"/>
      <c r="BA9" s="91"/>
      <c r="BB9" s="87">
        <f>SUM(AX9:BA9)</f>
        <v>0</v>
      </c>
      <c r="BC9" s="91"/>
      <c r="BD9" s="91">
        <v>12111.493</v>
      </c>
      <c r="BE9" s="91"/>
      <c r="BF9" s="91"/>
      <c r="BG9" s="91"/>
      <c r="BH9" s="91"/>
      <c r="BI9" s="91">
        <v>5223.3</v>
      </c>
      <c r="BJ9" s="91">
        <f>2360.6+15566.876</f>
        <v>17927.475999999999</v>
      </c>
      <c r="BK9" s="94">
        <f>SUM(BC9:BJ9)</f>
        <v>35262.269</v>
      </c>
      <c r="BL9" s="112">
        <v>16200</v>
      </c>
      <c r="BM9" s="91"/>
      <c r="BN9" s="91"/>
      <c r="BO9" s="139">
        <f>SUM(BL9:BN9)</f>
        <v>16200</v>
      </c>
      <c r="BP9" s="135" t="s">
        <v>218</v>
      </c>
      <c r="BQ9" s="205"/>
      <c r="BR9" s="405"/>
      <c r="BS9" s="81" t="s">
        <v>218</v>
      </c>
      <c r="BT9" s="139">
        <v>16857.582999999999</v>
      </c>
      <c r="BU9" s="139"/>
      <c r="BV9" s="139"/>
      <c r="BW9" s="139"/>
      <c r="BX9" s="139">
        <f t="shared" si="0"/>
        <v>16857.582999999999</v>
      </c>
      <c r="BY9" s="139"/>
      <c r="BZ9" s="139"/>
      <c r="CA9" s="94">
        <f>AS9+BB9+BK9+BO9+BX9+BY9+BZ9</f>
        <v>68319.851999999999</v>
      </c>
      <c r="CB9" s="131">
        <v>57700</v>
      </c>
      <c r="CC9" s="91"/>
      <c r="CD9" s="91">
        <v>3880.5520000000001</v>
      </c>
      <c r="CE9" s="91">
        <v>86000</v>
      </c>
      <c r="CF9" s="91"/>
      <c r="CG9" s="91">
        <v>87815.293999999994</v>
      </c>
      <c r="CH9" s="113">
        <v>21703.858</v>
      </c>
      <c r="CI9" s="92">
        <v>28206.241999999998</v>
      </c>
      <c r="CJ9" s="93"/>
      <c r="CK9" s="94">
        <f t="shared" ref="CK9:CK21" si="3">SUM(CB9:CH9)+CJ9</f>
        <v>257099.704</v>
      </c>
      <c r="CL9" s="145">
        <f>(CA9+CK9)</f>
        <v>325419.55599999998</v>
      </c>
      <c r="CM9" s="81" t="s">
        <v>218</v>
      </c>
      <c r="CN9" s="4"/>
    </row>
    <row r="10" spans="1:108" ht="27.75" customHeight="1" x14ac:dyDescent="0.15">
      <c r="B10" s="406"/>
      <c r="C10" s="59" t="s">
        <v>7</v>
      </c>
      <c r="D10" s="95">
        <f>SUM(D7:D9)</f>
        <v>846.56600000000003</v>
      </c>
      <c r="E10" s="96">
        <f>SUM(E7:E9)</f>
        <v>995694.11900000006</v>
      </c>
      <c r="F10" s="97">
        <f t="shared" ref="F10:R10" si="4">SUM(F7:F9)</f>
        <v>0</v>
      </c>
      <c r="G10" s="97">
        <f t="shared" si="4"/>
        <v>56210</v>
      </c>
      <c r="H10" s="97">
        <f t="shared" si="4"/>
        <v>0</v>
      </c>
      <c r="I10" s="97">
        <f t="shared" si="4"/>
        <v>0</v>
      </c>
      <c r="J10" s="97">
        <f t="shared" si="4"/>
        <v>56210</v>
      </c>
      <c r="K10" s="97">
        <f t="shared" si="4"/>
        <v>574.91199999999992</v>
      </c>
      <c r="L10" s="98">
        <f t="shared" si="4"/>
        <v>-33280</v>
      </c>
      <c r="M10" s="97">
        <f t="shared" si="4"/>
        <v>1020045.597</v>
      </c>
      <c r="N10" s="97">
        <f t="shared" si="4"/>
        <v>0</v>
      </c>
      <c r="O10" s="97">
        <f t="shared" si="4"/>
        <v>1.0820000000000001</v>
      </c>
      <c r="P10" s="97">
        <f t="shared" si="4"/>
        <v>1.0820000000000001</v>
      </c>
      <c r="Q10" s="97">
        <f>SUM(Q7:Q9)</f>
        <v>0</v>
      </c>
      <c r="R10" s="97">
        <f t="shared" si="4"/>
        <v>66285.005999999994</v>
      </c>
      <c r="S10" s="97">
        <v>0</v>
      </c>
      <c r="T10" s="96">
        <f t="shared" ref="T10:AJ10" si="5">SUM(T7:T9)</f>
        <v>13699.448</v>
      </c>
      <c r="U10" s="97">
        <f t="shared" si="5"/>
        <v>12130.779</v>
      </c>
      <c r="V10" s="99">
        <f t="shared" si="5"/>
        <v>-514.35</v>
      </c>
      <c r="W10" s="100">
        <f t="shared" si="5"/>
        <v>91600.883000000002</v>
      </c>
      <c r="X10" s="136" t="s">
        <v>7</v>
      </c>
      <c r="Y10" s="201"/>
      <c r="Z10" s="406"/>
      <c r="AA10" s="59" t="s">
        <v>7</v>
      </c>
      <c r="AB10" s="117">
        <f>SUM(AB7:AB9)</f>
        <v>978962.96399999992</v>
      </c>
      <c r="AC10" s="98">
        <f t="shared" si="5"/>
        <v>540661.54700000002</v>
      </c>
      <c r="AD10" s="97">
        <f t="shared" si="5"/>
        <v>506855.07699999999</v>
      </c>
      <c r="AE10" s="96">
        <f t="shared" si="5"/>
        <v>0</v>
      </c>
      <c r="AF10" s="97">
        <f t="shared" si="5"/>
        <v>1842.296</v>
      </c>
      <c r="AG10" s="97">
        <f t="shared" si="5"/>
        <v>69460</v>
      </c>
      <c r="AH10" s="118">
        <f t="shared" si="5"/>
        <v>7973.42</v>
      </c>
      <c r="AI10" s="119">
        <f t="shared" si="1"/>
        <v>1024432.21</v>
      </c>
      <c r="AJ10" s="120">
        <f t="shared" si="5"/>
        <v>0</v>
      </c>
      <c r="AK10" s="121">
        <f>SUM(AK7:AK9)</f>
        <v>2455.326</v>
      </c>
      <c r="AL10" s="122">
        <f>SUM(AL7:AL9)</f>
        <v>0</v>
      </c>
      <c r="AM10" s="123">
        <f>SUM(AM7:AM9)</f>
        <v>2138535.0979999998</v>
      </c>
      <c r="AN10" s="6"/>
      <c r="AO10" s="127">
        <f t="shared" ref="AO10:AX10" si="6">SUM(AO7:AO9)</f>
        <v>29060</v>
      </c>
      <c r="AP10" s="128">
        <f t="shared" si="6"/>
        <v>0</v>
      </c>
      <c r="AQ10" s="128">
        <f t="shared" si="6"/>
        <v>29060</v>
      </c>
      <c r="AR10" s="128">
        <f t="shared" si="6"/>
        <v>943.68099999999993</v>
      </c>
      <c r="AS10" s="129">
        <f t="shared" si="2"/>
        <v>30003.681</v>
      </c>
      <c r="AT10" s="136" t="s">
        <v>7</v>
      </c>
      <c r="AU10" s="201"/>
      <c r="AV10" s="406"/>
      <c r="AW10" s="59" t="s">
        <v>7</v>
      </c>
      <c r="AX10" s="130">
        <f t="shared" si="6"/>
        <v>0</v>
      </c>
      <c r="AY10" s="97">
        <f t="shared" ref="AY10:BF10" si="7">SUM(AY7:AY9)</f>
        <v>562.07299999999998</v>
      </c>
      <c r="AZ10" s="97">
        <f t="shared" si="7"/>
        <v>150.66299999999998</v>
      </c>
      <c r="BA10" s="97">
        <f t="shared" si="7"/>
        <v>0</v>
      </c>
      <c r="BB10" s="97">
        <f t="shared" si="7"/>
        <v>712.73599999999988</v>
      </c>
      <c r="BC10" s="97">
        <f t="shared" si="7"/>
        <v>0</v>
      </c>
      <c r="BD10" s="97">
        <f t="shared" si="7"/>
        <v>23950.682999999997</v>
      </c>
      <c r="BE10" s="97">
        <f t="shared" si="7"/>
        <v>195000</v>
      </c>
      <c r="BF10" s="97">
        <f t="shared" si="7"/>
        <v>0</v>
      </c>
      <c r="BG10" s="97">
        <v>0</v>
      </c>
      <c r="BH10" s="97">
        <f t="shared" ref="BH10:BO10" si="8">SUM(BH7:BH9)</f>
        <v>0</v>
      </c>
      <c r="BI10" s="97">
        <f t="shared" si="8"/>
        <v>17029.099999999999</v>
      </c>
      <c r="BJ10" s="97">
        <f t="shared" si="8"/>
        <v>48081.039000000004</v>
      </c>
      <c r="BK10" s="100">
        <f t="shared" si="8"/>
        <v>284060.82199999999</v>
      </c>
      <c r="BL10" s="130">
        <f t="shared" si="8"/>
        <v>778417</v>
      </c>
      <c r="BM10" s="97">
        <f t="shared" si="8"/>
        <v>0</v>
      </c>
      <c r="BN10" s="97">
        <f t="shared" si="8"/>
        <v>389100</v>
      </c>
      <c r="BO10" s="122">
        <f t="shared" si="8"/>
        <v>1167517</v>
      </c>
      <c r="BP10" s="136" t="s">
        <v>7</v>
      </c>
      <c r="BQ10" s="201"/>
      <c r="BR10" s="406"/>
      <c r="BS10" s="59" t="s">
        <v>7</v>
      </c>
      <c r="BT10" s="97">
        <f t="shared" ref="BT10:CA10" si="9">SUM(BT7:BT9)</f>
        <v>30110.955999999998</v>
      </c>
      <c r="BU10" s="97">
        <f t="shared" si="9"/>
        <v>0</v>
      </c>
      <c r="BV10" s="97">
        <f>SUM(BV7:BV9)</f>
        <v>0</v>
      </c>
      <c r="BW10" s="97">
        <f t="shared" si="9"/>
        <v>0</v>
      </c>
      <c r="BX10" s="97">
        <f t="shared" si="9"/>
        <v>30110.955999999998</v>
      </c>
      <c r="BY10" s="122">
        <f t="shared" si="9"/>
        <v>0</v>
      </c>
      <c r="BZ10" s="122">
        <f t="shared" si="9"/>
        <v>0</v>
      </c>
      <c r="CA10" s="100">
        <f t="shared" si="9"/>
        <v>1512405.1949999998</v>
      </c>
      <c r="CB10" s="117">
        <f t="shared" ref="CB10:CL10" si="10">SUM(CB7:CB9)</f>
        <v>404627</v>
      </c>
      <c r="CC10" s="97">
        <f t="shared" si="10"/>
        <v>0</v>
      </c>
      <c r="CD10" s="97">
        <f t="shared" si="10"/>
        <v>17560.552</v>
      </c>
      <c r="CE10" s="97">
        <f>SUM(CE7:CE9)</f>
        <v>252500</v>
      </c>
      <c r="CF10" s="97">
        <f t="shared" si="10"/>
        <v>0</v>
      </c>
      <c r="CG10" s="97">
        <f t="shared" si="10"/>
        <v>167815.29399999999</v>
      </c>
      <c r="CH10" s="124">
        <f t="shared" si="10"/>
        <v>-217372.943</v>
      </c>
      <c r="CI10" s="98">
        <f t="shared" si="10"/>
        <v>-5314771.0410000002</v>
      </c>
      <c r="CJ10" s="99">
        <f>SUM(CJ7:CJ9)</f>
        <v>0</v>
      </c>
      <c r="CK10" s="100">
        <f t="shared" si="3"/>
        <v>625129.90300000005</v>
      </c>
      <c r="CL10" s="146">
        <f t="shared" si="10"/>
        <v>2137535.0979999998</v>
      </c>
      <c r="CM10" s="59" t="s">
        <v>7</v>
      </c>
      <c r="CN10" s="4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1:108" ht="27.75" customHeight="1" x14ac:dyDescent="0.15">
      <c r="B11" s="404" t="s">
        <v>83</v>
      </c>
      <c r="C11" s="57" t="s">
        <v>84</v>
      </c>
      <c r="D11" s="84">
        <v>143.76499999999999</v>
      </c>
      <c r="E11" s="84">
        <v>49653.3</v>
      </c>
      <c r="F11" s="84"/>
      <c r="G11" s="84"/>
      <c r="H11" s="84"/>
      <c r="I11" s="84"/>
      <c r="J11" s="85">
        <f>SUM(G11:I11)</f>
        <v>0</v>
      </c>
      <c r="K11" s="84"/>
      <c r="L11" s="86"/>
      <c r="M11" s="85">
        <f>D11+E11+F11+J11+K11+L11</f>
        <v>49797.065000000002</v>
      </c>
      <c r="N11" s="84"/>
      <c r="O11" s="84"/>
      <c r="P11" s="85">
        <f>(N11+O11)</f>
        <v>0</v>
      </c>
      <c r="Q11" s="84"/>
      <c r="R11" s="84">
        <v>12086.661</v>
      </c>
      <c r="S11" s="84"/>
      <c r="T11" s="84">
        <v>93.42</v>
      </c>
      <c r="U11" s="84">
        <v>42.744999999999997</v>
      </c>
      <c r="V11" s="88">
        <v>-123.283</v>
      </c>
      <c r="W11" s="89">
        <f>SUM(Q11:V11)</f>
        <v>12099.543000000001</v>
      </c>
      <c r="X11" s="133" t="s">
        <v>84</v>
      </c>
      <c r="Y11" s="201"/>
      <c r="Z11" s="404" t="s">
        <v>83</v>
      </c>
      <c r="AA11" s="57" t="s">
        <v>84</v>
      </c>
      <c r="AB11" s="108">
        <v>252499.13</v>
      </c>
      <c r="AC11" s="109">
        <v>103689.251</v>
      </c>
      <c r="AD11" s="84">
        <v>89215.705000000002</v>
      </c>
      <c r="AE11" s="84"/>
      <c r="AF11" s="84">
        <v>348.524</v>
      </c>
      <c r="AG11" s="84">
        <v>3610</v>
      </c>
      <c r="AH11" s="84">
        <v>1538.2950000000001</v>
      </c>
      <c r="AI11" s="85">
        <f t="shared" si="1"/>
        <v>243522.40300000005</v>
      </c>
      <c r="AJ11" s="84"/>
      <c r="AK11" s="84"/>
      <c r="AL11" s="110"/>
      <c r="AM11" s="89">
        <f>M11+P11+W11+AI11+AJ11+AK11+AL11</f>
        <v>305419.01100000006</v>
      </c>
      <c r="AN11" s="6"/>
      <c r="AO11" s="108"/>
      <c r="AP11" s="84"/>
      <c r="AQ11" s="85">
        <f>(AO11+AP11)</f>
        <v>0</v>
      </c>
      <c r="AR11" s="84"/>
      <c r="AS11" s="89">
        <f t="shared" si="2"/>
        <v>0</v>
      </c>
      <c r="AT11" s="133" t="s">
        <v>84</v>
      </c>
      <c r="AU11" s="201"/>
      <c r="AV11" s="404" t="s">
        <v>83</v>
      </c>
      <c r="AW11" s="57" t="s">
        <v>84</v>
      </c>
      <c r="AX11" s="108"/>
      <c r="AY11" s="84"/>
      <c r="AZ11" s="84"/>
      <c r="BA11" s="84"/>
      <c r="BB11" s="85">
        <f>SUM(AX11:BA11)</f>
        <v>0</v>
      </c>
      <c r="BC11" s="84"/>
      <c r="BD11" s="84">
        <v>7135.3590000000004</v>
      </c>
      <c r="BE11" s="84"/>
      <c r="BF11" s="84"/>
      <c r="BG11" s="84"/>
      <c r="BH11" s="84"/>
      <c r="BI11" s="84">
        <v>185</v>
      </c>
      <c r="BJ11" s="84">
        <v>577.98299999999995</v>
      </c>
      <c r="BK11" s="89">
        <f>SUM(BC11:BJ11)</f>
        <v>7898.3420000000006</v>
      </c>
      <c r="BL11" s="108">
        <v>172772</v>
      </c>
      <c r="BM11" s="84"/>
      <c r="BN11" s="84"/>
      <c r="BO11" s="138">
        <f>SUM(BL11:BN11)</f>
        <v>172772</v>
      </c>
      <c r="BP11" s="133" t="s">
        <v>84</v>
      </c>
      <c r="BQ11" s="201"/>
      <c r="BR11" s="263"/>
      <c r="BS11" s="57" t="s">
        <v>84</v>
      </c>
      <c r="BT11" s="138">
        <v>356.31200000000001</v>
      </c>
      <c r="BU11" s="138"/>
      <c r="BV11" s="138"/>
      <c r="BW11" s="138"/>
      <c r="BX11" s="139">
        <f t="shared" si="0"/>
        <v>356.31200000000001</v>
      </c>
      <c r="BY11" s="138"/>
      <c r="BZ11" s="138"/>
      <c r="CA11" s="89">
        <f>AS11+BB11+BK11+BO11+BX11+BY11+BZ11</f>
        <v>181026.65400000001</v>
      </c>
      <c r="CB11" s="142">
        <v>11820</v>
      </c>
      <c r="CC11" s="84"/>
      <c r="CD11" s="84"/>
      <c r="CE11" s="84">
        <v>30000</v>
      </c>
      <c r="CF11" s="84"/>
      <c r="CG11" s="84"/>
      <c r="CH11" s="109">
        <v>82572.357000000004</v>
      </c>
      <c r="CI11" s="86">
        <v>-6162.375</v>
      </c>
      <c r="CJ11" s="88"/>
      <c r="CK11" s="143">
        <f>SUM(CB11:CH11)+CJ11</f>
        <v>124392.357</v>
      </c>
      <c r="CL11" s="144">
        <f>(CA11+CK11)</f>
        <v>305419.011</v>
      </c>
      <c r="CM11" s="57" t="s">
        <v>84</v>
      </c>
      <c r="CN11" s="4"/>
      <c r="CO11" s="264"/>
    </row>
    <row r="12" spans="1:108" ht="27.75" customHeight="1" x14ac:dyDescent="0.15">
      <c r="A12" s="503" t="s">
        <v>295</v>
      </c>
      <c r="B12" s="405"/>
      <c r="C12" s="58" t="s">
        <v>85</v>
      </c>
      <c r="D12" s="90">
        <v>23.463000000000001</v>
      </c>
      <c r="E12" s="91">
        <v>173151.255</v>
      </c>
      <c r="F12" s="91"/>
      <c r="G12" s="91"/>
      <c r="H12" s="91"/>
      <c r="I12" s="91"/>
      <c r="J12" s="87">
        <f>SUM(G12:I12)</f>
        <v>0</v>
      </c>
      <c r="K12" s="91"/>
      <c r="L12" s="92"/>
      <c r="M12" s="87">
        <f>D12+E12+F12+J12+K12+L12</f>
        <v>173174.71799999999</v>
      </c>
      <c r="N12" s="91"/>
      <c r="O12" s="91">
        <v>11.597</v>
      </c>
      <c r="P12" s="87">
        <f>(N12+O12)</f>
        <v>11.597</v>
      </c>
      <c r="Q12" s="91"/>
      <c r="R12" s="91">
        <v>34224.044000000002</v>
      </c>
      <c r="S12" s="91"/>
      <c r="T12" s="91">
        <v>333.39699999999999</v>
      </c>
      <c r="U12" s="91">
        <v>1368.365</v>
      </c>
      <c r="V12" s="93">
        <v>-149.28200000000001</v>
      </c>
      <c r="W12" s="94">
        <f>SUM(Q12:V12)</f>
        <v>35776.523999999998</v>
      </c>
      <c r="X12" s="134" t="s">
        <v>85</v>
      </c>
      <c r="Y12" s="504" t="s">
        <v>323</v>
      </c>
      <c r="Z12" s="405"/>
      <c r="AA12" s="58" t="s">
        <v>85</v>
      </c>
      <c r="AB12" s="112">
        <v>297115.12199999997</v>
      </c>
      <c r="AC12" s="113">
        <v>267682.12599999999</v>
      </c>
      <c r="AD12" s="91">
        <v>59454.457000000002</v>
      </c>
      <c r="AE12" s="91"/>
      <c r="AF12" s="91">
        <v>1973.319</v>
      </c>
      <c r="AG12" s="91">
        <v>16910</v>
      </c>
      <c r="AH12" s="91">
        <v>74.069999999999993</v>
      </c>
      <c r="AI12" s="87">
        <f t="shared" si="1"/>
        <v>107844.84199999999</v>
      </c>
      <c r="AJ12" s="91"/>
      <c r="AK12" s="91"/>
      <c r="AL12" s="114"/>
      <c r="AM12" s="94">
        <f>M12+P12+W12+AI12+AJ12+AK12+AL12</f>
        <v>316807.68099999998</v>
      </c>
      <c r="AN12" s="345"/>
      <c r="AO12" s="112"/>
      <c r="AP12" s="91"/>
      <c r="AQ12" s="87">
        <f>(AO12+AP12)</f>
        <v>0</v>
      </c>
      <c r="AR12" s="91"/>
      <c r="AS12" s="94">
        <f t="shared" si="2"/>
        <v>0</v>
      </c>
      <c r="AT12" s="134" t="s">
        <v>85</v>
      </c>
      <c r="AU12" s="505" t="s">
        <v>324</v>
      </c>
      <c r="AV12" s="405"/>
      <c r="AW12" s="58" t="s">
        <v>85</v>
      </c>
      <c r="AX12" s="112"/>
      <c r="AY12" s="91">
        <v>691.36500000000001</v>
      </c>
      <c r="AZ12" s="91">
        <v>53.814999999999998</v>
      </c>
      <c r="BA12" s="91"/>
      <c r="BB12" s="87">
        <f>SUM(AX12:BA12)</f>
        <v>745.18000000000006</v>
      </c>
      <c r="BC12" s="91"/>
      <c r="BD12" s="91">
        <v>4811.0609999999997</v>
      </c>
      <c r="BE12" s="91">
        <v>14100</v>
      </c>
      <c r="BF12" s="91"/>
      <c r="BG12" s="91"/>
      <c r="BH12" s="91"/>
      <c r="BI12" s="91">
        <v>2460.3000000000002</v>
      </c>
      <c r="BJ12" s="91">
        <f>21902.542</f>
        <v>21902.542000000001</v>
      </c>
      <c r="BK12" s="94">
        <f>SUM(BC12:BJ12)</f>
        <v>43273.903000000006</v>
      </c>
      <c r="BL12" s="112">
        <v>133800</v>
      </c>
      <c r="BM12" s="91"/>
      <c r="BN12" s="91"/>
      <c r="BO12" s="139">
        <f>SUM(BL12:BN12)</f>
        <v>133800</v>
      </c>
      <c r="BP12" s="134" t="s">
        <v>85</v>
      </c>
      <c r="BQ12" s="504" t="s">
        <v>296</v>
      </c>
      <c r="BR12" s="270" t="s">
        <v>9</v>
      </c>
      <c r="BS12" s="58" t="s">
        <v>85</v>
      </c>
      <c r="BT12" s="139">
        <v>5159.0839999999998</v>
      </c>
      <c r="BU12" s="139"/>
      <c r="BV12" s="139"/>
      <c r="BW12" s="139"/>
      <c r="BX12" s="139">
        <f t="shared" si="0"/>
        <v>5159.0839999999998</v>
      </c>
      <c r="BY12" s="139"/>
      <c r="BZ12" s="139"/>
      <c r="CA12" s="94">
        <f>AS12+BB12+BK12+BO12+BX12+BY12+BZ12</f>
        <v>182978.16700000002</v>
      </c>
      <c r="CB12" s="131">
        <v>20130</v>
      </c>
      <c r="CC12" s="91"/>
      <c r="CD12" s="91"/>
      <c r="CE12" s="91">
        <v>27200</v>
      </c>
      <c r="CF12" s="91"/>
      <c r="CG12" s="91"/>
      <c r="CH12" s="113">
        <v>88929.513999999996</v>
      </c>
      <c r="CI12" s="92">
        <v>8353.0300000000007</v>
      </c>
      <c r="CJ12" s="93">
        <v>-2430</v>
      </c>
      <c r="CK12" s="271">
        <f t="shared" si="3"/>
        <v>133829.514</v>
      </c>
      <c r="CL12" s="145">
        <f>(CA12+CK12)</f>
        <v>316807.68099999998</v>
      </c>
      <c r="CM12" s="58" t="s">
        <v>85</v>
      </c>
      <c r="CN12" s="4"/>
    </row>
    <row r="13" spans="1:108" ht="27.75" customHeight="1" x14ac:dyDescent="0.15">
      <c r="A13" s="503"/>
      <c r="B13" s="405"/>
      <c r="C13" s="58" t="s">
        <v>262</v>
      </c>
      <c r="D13" s="90">
        <v>368.43400000000003</v>
      </c>
      <c r="E13" s="91">
        <v>21916.178</v>
      </c>
      <c r="F13" s="91"/>
      <c r="G13" s="91"/>
      <c r="H13" s="91"/>
      <c r="I13" s="91"/>
      <c r="J13" s="87">
        <f>SUM(G13:I13)</f>
        <v>0</v>
      </c>
      <c r="K13" s="91"/>
      <c r="L13" s="92"/>
      <c r="M13" s="87">
        <f>D13+E13+F13+J13+K13+L13</f>
        <v>22284.612000000001</v>
      </c>
      <c r="N13" s="91"/>
      <c r="O13" s="91"/>
      <c r="P13" s="87">
        <f>(N13+O13)</f>
        <v>0</v>
      </c>
      <c r="Q13" s="91"/>
      <c r="R13" s="91">
        <v>11397.646000000001</v>
      </c>
      <c r="S13" s="91"/>
      <c r="T13" s="91">
        <v>2055.7800000000002</v>
      </c>
      <c r="U13" s="91">
        <v>10836.56</v>
      </c>
      <c r="V13" s="93">
        <v>-79.343000000000004</v>
      </c>
      <c r="W13" s="94">
        <f>SUM(Q13:V13)</f>
        <v>24210.643</v>
      </c>
      <c r="X13" s="134" t="s">
        <v>260</v>
      </c>
      <c r="Y13" s="504"/>
      <c r="Z13" s="405"/>
      <c r="AA13" s="58" t="s">
        <v>260</v>
      </c>
      <c r="AB13" s="112">
        <v>1169265.844</v>
      </c>
      <c r="AC13" s="113">
        <v>653060.28200000001</v>
      </c>
      <c r="AD13" s="91">
        <v>125785.753</v>
      </c>
      <c r="AE13" s="91"/>
      <c r="AF13" s="91">
        <v>617.51700000000005</v>
      </c>
      <c r="AG13" s="91">
        <v>21047.5</v>
      </c>
      <c r="AH13" s="91">
        <v>2000</v>
      </c>
      <c r="AI13" s="87">
        <f>AB13-AC13+AD13+AE13+AF13+AG13+AH13</f>
        <v>665656.33200000005</v>
      </c>
      <c r="AJ13" s="91">
        <v>1523.55</v>
      </c>
      <c r="AK13" s="91"/>
      <c r="AL13" s="114"/>
      <c r="AM13" s="94">
        <f>M13+P13+W13+AI13+AJ13+AK13+AL13</f>
        <v>713675.1370000001</v>
      </c>
      <c r="AN13" s="6"/>
      <c r="AO13" s="112"/>
      <c r="AP13" s="91"/>
      <c r="AQ13" s="87">
        <f>(AO13+AP13)</f>
        <v>0</v>
      </c>
      <c r="AR13" s="91"/>
      <c r="AS13" s="94">
        <f t="shared" si="2"/>
        <v>0</v>
      </c>
      <c r="AT13" s="134" t="s">
        <v>260</v>
      </c>
      <c r="AU13" s="505"/>
      <c r="AV13" s="405"/>
      <c r="AW13" s="58" t="s">
        <v>260</v>
      </c>
      <c r="AX13" s="112"/>
      <c r="AY13" s="91">
        <v>79.745999999999995</v>
      </c>
      <c r="AZ13" s="91">
        <v>147.33500000000001</v>
      </c>
      <c r="BA13" s="91"/>
      <c r="BB13" s="87">
        <f>SUM(AX13:BA13)</f>
        <v>227.08100000000002</v>
      </c>
      <c r="BC13" s="91"/>
      <c r="BD13" s="91">
        <v>948.08900000000006</v>
      </c>
      <c r="BE13" s="91">
        <v>10000</v>
      </c>
      <c r="BF13" s="91"/>
      <c r="BG13" s="91"/>
      <c r="BH13" s="91"/>
      <c r="BI13" s="91">
        <v>185</v>
      </c>
      <c r="BJ13" s="101">
        <v>3888.998</v>
      </c>
      <c r="BK13" s="94">
        <f>SUM(BC13:BJ13)</f>
        <v>15022.087</v>
      </c>
      <c r="BL13" s="112">
        <v>499189</v>
      </c>
      <c r="BM13" s="91"/>
      <c r="BN13" s="91">
        <f>126.96+1555.4</f>
        <v>1682.3600000000001</v>
      </c>
      <c r="BO13" s="139">
        <f>SUM(BL13:BN13)</f>
        <v>500871.36</v>
      </c>
      <c r="BP13" s="134" t="s">
        <v>260</v>
      </c>
      <c r="BQ13" s="504"/>
      <c r="BR13" s="270"/>
      <c r="BS13" s="58" t="s">
        <v>260</v>
      </c>
      <c r="BT13" s="139">
        <v>2674.8249999999998</v>
      </c>
      <c r="BU13" s="139"/>
      <c r="BV13" s="139"/>
      <c r="BW13" s="139"/>
      <c r="BX13" s="139">
        <f t="shared" si="0"/>
        <v>2674.8249999999998</v>
      </c>
      <c r="BY13" s="139"/>
      <c r="BZ13" s="139"/>
      <c r="CA13" s="94">
        <f>AS13+BB13+BK13+BO13+BX13+BY13+BZ13</f>
        <v>518795.353</v>
      </c>
      <c r="CB13" s="131">
        <v>83970</v>
      </c>
      <c r="CC13" s="91"/>
      <c r="CD13" s="91"/>
      <c r="CE13" s="91">
        <v>102650</v>
      </c>
      <c r="CF13" s="91"/>
      <c r="CG13" s="91"/>
      <c r="CH13" s="113">
        <v>8259.7839999999997</v>
      </c>
      <c r="CI13" s="92">
        <v>1495.6079999999999</v>
      </c>
      <c r="CJ13" s="93"/>
      <c r="CK13" s="94">
        <f>SUM(CB13:CH13)+CJ13</f>
        <v>194879.78399999999</v>
      </c>
      <c r="CL13" s="145">
        <f>(CA13+CK13)</f>
        <v>713675.13699999999</v>
      </c>
      <c r="CM13" s="58" t="s">
        <v>300</v>
      </c>
      <c r="CN13" s="4"/>
    </row>
    <row r="14" spans="1:108" ht="27.75" customHeight="1" x14ac:dyDescent="0.15">
      <c r="A14" s="503"/>
      <c r="B14" s="405"/>
      <c r="C14" s="58" t="s">
        <v>86</v>
      </c>
      <c r="D14" s="90"/>
      <c r="E14" s="91">
        <v>20117.912</v>
      </c>
      <c r="F14" s="91"/>
      <c r="G14" s="91"/>
      <c r="H14" s="91"/>
      <c r="I14" s="91"/>
      <c r="J14" s="87">
        <f>SUM(G14:I14)</f>
        <v>0</v>
      </c>
      <c r="K14" s="91"/>
      <c r="L14" s="92"/>
      <c r="M14" s="87">
        <f>D14+E14+F14+J14+K14+L14</f>
        <v>20117.912</v>
      </c>
      <c r="N14" s="91"/>
      <c r="O14" s="91"/>
      <c r="P14" s="87">
        <f>(N14+O14)</f>
        <v>0</v>
      </c>
      <c r="Q14" s="91"/>
      <c r="R14" s="91"/>
      <c r="S14" s="91"/>
      <c r="T14" s="91"/>
      <c r="U14" s="91"/>
      <c r="V14" s="93"/>
      <c r="W14" s="94">
        <f>SUM(Q14:V14)</f>
        <v>0</v>
      </c>
      <c r="X14" s="134" t="s">
        <v>86</v>
      </c>
      <c r="Y14" s="504"/>
      <c r="Z14" s="405"/>
      <c r="AA14" s="58" t="s">
        <v>86</v>
      </c>
      <c r="AB14" s="112"/>
      <c r="AC14" s="113"/>
      <c r="AD14" s="91"/>
      <c r="AE14" s="91"/>
      <c r="AF14" s="91">
        <v>103.55800000000001</v>
      </c>
      <c r="AG14" s="91">
        <v>751</v>
      </c>
      <c r="AH14" s="91">
        <v>2300</v>
      </c>
      <c r="AI14" s="87">
        <f t="shared" si="1"/>
        <v>3154.558</v>
      </c>
      <c r="AJ14" s="91"/>
      <c r="AK14" s="114"/>
      <c r="AL14" s="91"/>
      <c r="AM14" s="94">
        <f>M14+P14+W14+AI14+AJ14+AK14+AL14</f>
        <v>23272.47</v>
      </c>
      <c r="AN14" s="6"/>
      <c r="AO14" s="112"/>
      <c r="AP14" s="91"/>
      <c r="AQ14" s="87">
        <f>(AO14+AP14)</f>
        <v>0</v>
      </c>
      <c r="AR14" s="91"/>
      <c r="AS14" s="94">
        <f t="shared" si="2"/>
        <v>0</v>
      </c>
      <c r="AT14" s="134" t="s">
        <v>86</v>
      </c>
      <c r="AU14" s="505"/>
      <c r="AV14" s="405"/>
      <c r="AW14" s="58" t="s">
        <v>86</v>
      </c>
      <c r="AX14" s="112"/>
      <c r="AY14" s="91"/>
      <c r="AZ14" s="91"/>
      <c r="BA14" s="91"/>
      <c r="BB14" s="87">
        <f>SUM(AX14:BA14)</f>
        <v>0</v>
      </c>
      <c r="BC14" s="91"/>
      <c r="BD14" s="91"/>
      <c r="BE14" s="91"/>
      <c r="BF14" s="91"/>
      <c r="BG14" s="91"/>
      <c r="BH14" s="91"/>
      <c r="BI14" s="91">
        <v>299.8</v>
      </c>
      <c r="BJ14" s="91">
        <f>50+60</f>
        <v>110</v>
      </c>
      <c r="BK14" s="94">
        <f>SUM(BC14:BJ14)</f>
        <v>409.8</v>
      </c>
      <c r="BL14" s="112"/>
      <c r="BM14" s="91"/>
      <c r="BN14" s="91"/>
      <c r="BO14" s="139">
        <f>SUM(BL14:BN14)</f>
        <v>0</v>
      </c>
      <c r="BP14" s="134" t="s">
        <v>86</v>
      </c>
      <c r="BQ14" s="504"/>
      <c r="BR14" s="270" t="s">
        <v>87</v>
      </c>
      <c r="BS14" s="58" t="s">
        <v>86</v>
      </c>
      <c r="BT14" s="139"/>
      <c r="BU14" s="139"/>
      <c r="BV14" s="139"/>
      <c r="BW14" s="139"/>
      <c r="BX14" s="139">
        <f t="shared" si="0"/>
        <v>0</v>
      </c>
      <c r="BY14" s="139"/>
      <c r="BZ14" s="139"/>
      <c r="CA14" s="94">
        <f>AS14+BB14+BK14+BO14+BX14+BY14+BZ14</f>
        <v>409.8</v>
      </c>
      <c r="CB14" s="131">
        <v>7680</v>
      </c>
      <c r="CC14" s="91"/>
      <c r="CD14" s="91"/>
      <c r="CE14" s="91">
        <v>5400</v>
      </c>
      <c r="CF14" s="91"/>
      <c r="CG14" s="91">
        <v>2500</v>
      </c>
      <c r="CH14" s="113">
        <f>848.406+6434.264</f>
        <v>7282.67</v>
      </c>
      <c r="CI14" s="92">
        <v>848.40599999999995</v>
      </c>
      <c r="CJ14" s="93"/>
      <c r="CK14" s="94">
        <f>SUM(CB14:CH14)+CJ14</f>
        <v>22862.67</v>
      </c>
      <c r="CL14" s="145">
        <f>(CA14+CK14)</f>
        <v>23272.469999999998</v>
      </c>
      <c r="CM14" s="58" t="s">
        <v>86</v>
      </c>
      <c r="CN14" s="4"/>
    </row>
    <row r="15" spans="1:108" ht="27.75" customHeight="1" x14ac:dyDescent="0.15">
      <c r="B15" s="406"/>
      <c r="C15" s="59" t="s">
        <v>248</v>
      </c>
      <c r="D15" s="95">
        <f>SUM(D11:D14)</f>
        <v>535.66200000000003</v>
      </c>
      <c r="E15" s="97">
        <f t="shared" ref="E15:N15" si="11">SUM(E11:E14)</f>
        <v>264838.64500000002</v>
      </c>
      <c r="F15" s="97">
        <f t="shared" si="11"/>
        <v>0</v>
      </c>
      <c r="G15" s="97">
        <f t="shared" si="11"/>
        <v>0</v>
      </c>
      <c r="H15" s="97">
        <f t="shared" si="11"/>
        <v>0</v>
      </c>
      <c r="I15" s="97">
        <f t="shared" si="11"/>
        <v>0</v>
      </c>
      <c r="J15" s="97">
        <f t="shared" si="11"/>
        <v>0</v>
      </c>
      <c r="K15" s="97">
        <f t="shared" si="11"/>
        <v>0</v>
      </c>
      <c r="L15" s="98">
        <f t="shared" si="11"/>
        <v>0</v>
      </c>
      <c r="M15" s="97">
        <f t="shared" si="11"/>
        <v>265374.30699999997</v>
      </c>
      <c r="N15" s="97">
        <f t="shared" si="11"/>
        <v>0</v>
      </c>
      <c r="O15" s="97">
        <f t="shared" ref="O15:AC15" si="12">SUM(O11:O14)</f>
        <v>11.597</v>
      </c>
      <c r="P15" s="97">
        <f t="shared" si="12"/>
        <v>11.597</v>
      </c>
      <c r="Q15" s="97">
        <f>SUM(Q11:Q14)</f>
        <v>0</v>
      </c>
      <c r="R15" s="97">
        <f t="shared" si="12"/>
        <v>57708.351000000002</v>
      </c>
      <c r="S15" s="97">
        <f t="shared" si="12"/>
        <v>0</v>
      </c>
      <c r="T15" s="97">
        <f t="shared" si="12"/>
        <v>2482.5970000000002</v>
      </c>
      <c r="U15" s="97">
        <f t="shared" si="12"/>
        <v>12247.67</v>
      </c>
      <c r="V15" s="99">
        <f t="shared" si="12"/>
        <v>-351.90800000000002</v>
      </c>
      <c r="W15" s="100">
        <f t="shared" si="12"/>
        <v>72086.709999999992</v>
      </c>
      <c r="X15" s="136" t="s">
        <v>88</v>
      </c>
      <c r="Y15" s="201"/>
      <c r="Z15" s="406"/>
      <c r="AA15" s="59" t="s">
        <v>88</v>
      </c>
      <c r="AB15" s="117">
        <f t="shared" si="12"/>
        <v>1718880.0959999999</v>
      </c>
      <c r="AC15" s="124">
        <f t="shared" si="12"/>
        <v>1024431.659</v>
      </c>
      <c r="AD15" s="97">
        <f t="shared" ref="AD15:AJ15" si="13">SUM(AD11:AD14)</f>
        <v>274455.91500000004</v>
      </c>
      <c r="AE15" s="96">
        <f t="shared" si="13"/>
        <v>0</v>
      </c>
      <c r="AF15" s="97">
        <f t="shared" si="13"/>
        <v>3042.9179999999997</v>
      </c>
      <c r="AG15" s="97">
        <f t="shared" si="13"/>
        <v>42318.5</v>
      </c>
      <c r="AH15" s="118">
        <f t="shared" si="13"/>
        <v>5912.3649999999998</v>
      </c>
      <c r="AI15" s="119">
        <f t="shared" si="1"/>
        <v>1020178.1349999999</v>
      </c>
      <c r="AJ15" s="118">
        <f t="shared" si="13"/>
        <v>1523.55</v>
      </c>
      <c r="AK15" s="279">
        <f>SUM(AK11:AK14)</f>
        <v>0</v>
      </c>
      <c r="AL15" s="279">
        <f>SUM(AL11:AL14)</f>
        <v>0</v>
      </c>
      <c r="AM15" s="123">
        <f>SUM(AM11:AM14)</f>
        <v>1359174.2990000001</v>
      </c>
      <c r="AN15" s="6"/>
      <c r="AO15" s="130">
        <f t="shared" ref="AO15:AX15" si="14">SUM(AO11:AO14)</f>
        <v>0</v>
      </c>
      <c r="AP15" s="97">
        <f t="shared" si="14"/>
        <v>0</v>
      </c>
      <c r="AQ15" s="97">
        <f t="shared" si="14"/>
        <v>0</v>
      </c>
      <c r="AR15" s="97">
        <f t="shared" si="14"/>
        <v>0</v>
      </c>
      <c r="AS15" s="100">
        <f t="shared" si="2"/>
        <v>0</v>
      </c>
      <c r="AT15" s="136" t="s">
        <v>88</v>
      </c>
      <c r="AU15" s="201"/>
      <c r="AV15" s="406"/>
      <c r="AW15" s="59" t="s">
        <v>88</v>
      </c>
      <c r="AX15" s="130">
        <f t="shared" si="14"/>
        <v>0</v>
      </c>
      <c r="AY15" s="97">
        <f t="shared" ref="AY15:BG15" si="15">SUM(AY11:AY14)</f>
        <v>771.11099999999999</v>
      </c>
      <c r="AZ15" s="97">
        <f t="shared" si="15"/>
        <v>201.15</v>
      </c>
      <c r="BA15" s="97">
        <f t="shared" si="15"/>
        <v>0</v>
      </c>
      <c r="BB15" s="97">
        <f t="shared" si="15"/>
        <v>972.26100000000008</v>
      </c>
      <c r="BC15" s="97">
        <f t="shared" si="15"/>
        <v>0</v>
      </c>
      <c r="BD15" s="97">
        <f t="shared" si="15"/>
        <v>12894.509</v>
      </c>
      <c r="BE15" s="97">
        <f t="shared" si="15"/>
        <v>24100</v>
      </c>
      <c r="BF15" s="97">
        <f t="shared" si="15"/>
        <v>0</v>
      </c>
      <c r="BG15" s="97">
        <f t="shared" si="15"/>
        <v>0</v>
      </c>
      <c r="BH15" s="97">
        <f t="shared" ref="BH15:BM15" si="16">SUM(BH11:BH14)</f>
        <v>0</v>
      </c>
      <c r="BI15" s="97">
        <f t="shared" si="16"/>
        <v>3130.1000000000004</v>
      </c>
      <c r="BJ15" s="97">
        <f>SUM(BJ11:BJ14)</f>
        <v>26479.523000000001</v>
      </c>
      <c r="BK15" s="100">
        <f t="shared" si="16"/>
        <v>66604.132000000012</v>
      </c>
      <c r="BL15" s="130">
        <f t="shared" si="16"/>
        <v>805761</v>
      </c>
      <c r="BM15" s="97">
        <f t="shared" si="16"/>
        <v>0</v>
      </c>
      <c r="BN15" s="97">
        <f>SUM(BN12:BN14)</f>
        <v>1682.3600000000001</v>
      </c>
      <c r="BO15" s="122">
        <f>SUM(BO11:BO14)</f>
        <v>807443.36</v>
      </c>
      <c r="BP15" s="136" t="s">
        <v>88</v>
      </c>
      <c r="BQ15" s="201"/>
      <c r="BR15" s="280"/>
      <c r="BS15" s="59" t="s">
        <v>88</v>
      </c>
      <c r="BT15" s="139">
        <f t="shared" ref="BT15:CA15" si="17">SUM(BT11:BT14)</f>
        <v>8190.2209999999995</v>
      </c>
      <c r="BU15" s="139">
        <f t="shared" si="17"/>
        <v>0</v>
      </c>
      <c r="BV15" s="139">
        <f t="shared" si="17"/>
        <v>0</v>
      </c>
      <c r="BW15" s="139">
        <f t="shared" si="17"/>
        <v>0</v>
      </c>
      <c r="BX15" s="139">
        <f t="shared" si="17"/>
        <v>8190.2209999999995</v>
      </c>
      <c r="BY15" s="122">
        <f t="shared" si="17"/>
        <v>0</v>
      </c>
      <c r="BZ15" s="122">
        <f t="shared" si="17"/>
        <v>0</v>
      </c>
      <c r="CA15" s="100">
        <f t="shared" si="17"/>
        <v>883209.97400000005</v>
      </c>
      <c r="CB15" s="117">
        <f t="shared" ref="CB15:CI15" si="18">SUM(CB11:CB14)</f>
        <v>123600</v>
      </c>
      <c r="CC15" s="97">
        <f t="shared" si="18"/>
        <v>0</v>
      </c>
      <c r="CD15" s="97">
        <f t="shared" si="18"/>
        <v>0</v>
      </c>
      <c r="CE15" s="97">
        <f t="shared" si="18"/>
        <v>165250</v>
      </c>
      <c r="CF15" s="97">
        <f>SUM(CF11:CF14)</f>
        <v>0</v>
      </c>
      <c r="CG15" s="97">
        <f>SUM(CG11:CG14)</f>
        <v>2500</v>
      </c>
      <c r="CH15" s="124">
        <f t="shared" si="18"/>
        <v>187044.32499999998</v>
      </c>
      <c r="CI15" s="98">
        <f t="shared" si="18"/>
        <v>4534.6690000000008</v>
      </c>
      <c r="CJ15" s="99">
        <f>SUM(CJ11:CJ14)</f>
        <v>-2430</v>
      </c>
      <c r="CK15" s="281">
        <f t="shared" si="3"/>
        <v>475964.32499999995</v>
      </c>
      <c r="CL15" s="146">
        <f>SUM(CL11:CL14)</f>
        <v>1359174.2989999999</v>
      </c>
      <c r="CM15" s="59" t="s">
        <v>88</v>
      </c>
      <c r="CN15" s="4"/>
    </row>
    <row r="16" spans="1:108" ht="27.75" customHeight="1" x14ac:dyDescent="0.15">
      <c r="B16" s="404" t="s">
        <v>177</v>
      </c>
      <c r="C16" s="57" t="s">
        <v>257</v>
      </c>
      <c r="D16" s="294">
        <v>45.704000000000001</v>
      </c>
      <c r="E16" s="84">
        <v>362599.73700000002</v>
      </c>
      <c r="F16" s="84"/>
      <c r="G16" s="84"/>
      <c r="H16" s="84"/>
      <c r="I16" s="84"/>
      <c r="J16" s="85"/>
      <c r="K16" s="84"/>
      <c r="L16" s="86"/>
      <c r="M16" s="85">
        <f>D16+E16+F16+J16+K16+L16</f>
        <v>362645.44100000005</v>
      </c>
      <c r="N16" s="84"/>
      <c r="O16" s="84"/>
      <c r="P16" s="85">
        <v>0</v>
      </c>
      <c r="Q16" s="84"/>
      <c r="R16" s="84">
        <v>17815.971000000001</v>
      </c>
      <c r="S16" s="84"/>
      <c r="T16" s="84"/>
      <c r="U16" s="84">
        <v>4196.759</v>
      </c>
      <c r="V16" s="88">
        <v>-111.514</v>
      </c>
      <c r="W16" s="94">
        <f>SUM(Q16:V16)</f>
        <v>21901.216000000004</v>
      </c>
      <c r="X16" s="133" t="s">
        <v>258</v>
      </c>
      <c r="Y16" s="201"/>
      <c r="Z16" s="404" t="s">
        <v>177</v>
      </c>
      <c r="AA16" s="57" t="s">
        <v>258</v>
      </c>
      <c r="AB16" s="108">
        <v>609768.97400000005</v>
      </c>
      <c r="AC16" s="109">
        <v>457904.80800000002</v>
      </c>
      <c r="AD16" s="84">
        <v>36769</v>
      </c>
      <c r="AE16" s="295"/>
      <c r="AF16" s="84">
        <v>598.28</v>
      </c>
      <c r="AG16" s="84">
        <v>32980</v>
      </c>
      <c r="AH16" s="84">
        <v>62336.438000000002</v>
      </c>
      <c r="AI16" s="85">
        <f t="shared" si="1"/>
        <v>284547.88400000002</v>
      </c>
      <c r="AJ16" s="84"/>
      <c r="AK16" s="84"/>
      <c r="AL16" s="110"/>
      <c r="AM16" s="89">
        <f>M16+P16+W16+AI16+AJ16+AK16+AL16</f>
        <v>669094.54100000008</v>
      </c>
      <c r="AN16" s="345"/>
      <c r="AO16" s="108"/>
      <c r="AP16" s="84"/>
      <c r="AQ16" s="85">
        <f>(AO16+AP16)</f>
        <v>0</v>
      </c>
      <c r="AR16" s="84"/>
      <c r="AS16" s="89">
        <f t="shared" si="2"/>
        <v>0</v>
      </c>
      <c r="AT16" s="133" t="s">
        <v>258</v>
      </c>
      <c r="AU16" s="201"/>
      <c r="AV16" s="404" t="s">
        <v>177</v>
      </c>
      <c r="AW16" s="57" t="s">
        <v>258</v>
      </c>
      <c r="AX16" s="108"/>
      <c r="AY16" s="84"/>
      <c r="AZ16" s="84"/>
      <c r="BA16" s="84"/>
      <c r="BB16" s="85">
        <v>0</v>
      </c>
      <c r="BC16" s="84"/>
      <c r="BD16" s="84">
        <v>990.74800000000005</v>
      </c>
      <c r="BE16" s="84"/>
      <c r="BF16" s="84"/>
      <c r="BG16" s="84"/>
      <c r="BH16" s="84"/>
      <c r="BI16" s="84">
        <v>14475.5</v>
      </c>
      <c r="BJ16" s="84">
        <f>185+1343.654</f>
        <v>1528.654</v>
      </c>
      <c r="BK16" s="89">
        <f>SUM(BC16:BJ16)</f>
        <v>16994.901999999998</v>
      </c>
      <c r="BL16" s="108">
        <v>571870.897</v>
      </c>
      <c r="BM16" s="84"/>
      <c r="BN16" s="84"/>
      <c r="BO16" s="138">
        <f>SUM(BL16:BN16)</f>
        <v>571870.897</v>
      </c>
      <c r="BP16" s="133" t="s">
        <v>258</v>
      </c>
      <c r="BQ16" s="201"/>
      <c r="BR16" s="404" t="s">
        <v>177</v>
      </c>
      <c r="BS16" s="57" t="s">
        <v>258</v>
      </c>
      <c r="BT16" s="138">
        <v>469.85</v>
      </c>
      <c r="BU16" s="138"/>
      <c r="BV16" s="138"/>
      <c r="BW16" s="138"/>
      <c r="BX16" s="138">
        <f t="shared" si="0"/>
        <v>469.85</v>
      </c>
      <c r="BY16" s="138"/>
      <c r="BZ16" s="138"/>
      <c r="CA16" s="89">
        <f>AS16+BB16+BK16+BO16+BX16+BY16+BZ16</f>
        <v>589335.64899999998</v>
      </c>
      <c r="CB16" s="142">
        <v>22000</v>
      </c>
      <c r="CC16" s="84"/>
      <c r="CD16" s="84"/>
      <c r="CE16" s="84">
        <v>44000</v>
      </c>
      <c r="CF16" s="84"/>
      <c r="CG16" s="84">
        <v>100000</v>
      </c>
      <c r="CH16" s="109">
        <v>-86241.107999999993</v>
      </c>
      <c r="CI16" s="86">
        <v>-32220.041000000001</v>
      </c>
      <c r="CJ16" s="88"/>
      <c r="CK16" s="89">
        <f t="shared" si="3"/>
        <v>79758.892000000007</v>
      </c>
      <c r="CL16" s="144">
        <f>(CA16+CK16)</f>
        <v>669094.54099999997</v>
      </c>
      <c r="CM16" s="57" t="s">
        <v>258</v>
      </c>
      <c r="CN16" s="4"/>
    </row>
    <row r="17" spans="2:92" ht="27.75" customHeight="1" x14ac:dyDescent="0.15">
      <c r="B17" s="405"/>
      <c r="C17" s="58" t="s">
        <v>199</v>
      </c>
      <c r="D17" s="91">
        <v>426.85599999999999</v>
      </c>
      <c r="E17" s="91">
        <v>64650.209000000003</v>
      </c>
      <c r="F17" s="91"/>
      <c r="G17" s="91"/>
      <c r="H17" s="91"/>
      <c r="I17" s="91"/>
      <c r="J17" s="87">
        <f>SUM(G17:I17)</f>
        <v>0</v>
      </c>
      <c r="K17" s="91"/>
      <c r="L17" s="92"/>
      <c r="M17" s="87">
        <f>D17+E17+F17+J17+K17+L17</f>
        <v>65077.065000000002</v>
      </c>
      <c r="N17" s="91"/>
      <c r="O17" s="91"/>
      <c r="P17" s="87">
        <f>(N17+O17)</f>
        <v>0</v>
      </c>
      <c r="Q17" s="91"/>
      <c r="R17" s="91">
        <v>40873.762000000002</v>
      </c>
      <c r="S17" s="91"/>
      <c r="T17" s="91">
        <v>113273.708</v>
      </c>
      <c r="U17" s="91">
        <v>1535.2560000000001</v>
      </c>
      <c r="V17" s="93">
        <v>-247.90600000000001</v>
      </c>
      <c r="W17" s="94">
        <f>SUM(Q17:V17)</f>
        <v>155434.82</v>
      </c>
      <c r="X17" s="134" t="s">
        <v>199</v>
      </c>
      <c r="Y17" s="201"/>
      <c r="Z17" s="405"/>
      <c r="AA17" s="58" t="s">
        <v>199</v>
      </c>
      <c r="AB17" s="112">
        <v>640688.52300000004</v>
      </c>
      <c r="AC17" s="113">
        <v>337067.80699999997</v>
      </c>
      <c r="AD17" s="91">
        <v>168449.03099999999</v>
      </c>
      <c r="AE17" s="101"/>
      <c r="AF17" s="91">
        <v>1445.11</v>
      </c>
      <c r="AG17" s="91">
        <v>24830</v>
      </c>
      <c r="AH17" s="91">
        <v>6434.8860000000004</v>
      </c>
      <c r="AI17" s="87">
        <f>AB17-AC17+AD17+AE17+AF17+AG17+AH17</f>
        <v>504779.74300000007</v>
      </c>
      <c r="AJ17" s="91"/>
      <c r="AK17" s="101"/>
      <c r="AL17" s="114"/>
      <c r="AM17" s="309">
        <f>M17+P17+W17+AI17+AJ17+AK17+AL17</f>
        <v>725291.62800000003</v>
      </c>
      <c r="AN17" s="6"/>
      <c r="AO17" s="112"/>
      <c r="AP17" s="91"/>
      <c r="AQ17" s="87">
        <f>(AO17+AP17)</f>
        <v>0</v>
      </c>
      <c r="AR17" s="91"/>
      <c r="AS17" s="94">
        <f t="shared" si="2"/>
        <v>0</v>
      </c>
      <c r="AT17" s="134" t="s">
        <v>199</v>
      </c>
      <c r="AU17" s="201"/>
      <c r="AV17" s="405"/>
      <c r="AW17" s="58" t="s">
        <v>199</v>
      </c>
      <c r="AX17" s="112"/>
      <c r="AY17" s="91"/>
      <c r="AZ17" s="91"/>
      <c r="BA17" s="91">
        <v>39.911000000000001</v>
      </c>
      <c r="BB17" s="87">
        <f>SUM(AX17:BA17)</f>
        <v>39.911000000000001</v>
      </c>
      <c r="BC17" s="91"/>
      <c r="BD17" s="91">
        <v>23126.968000000001</v>
      </c>
      <c r="BE17" s="91">
        <v>80000</v>
      </c>
      <c r="BF17" s="91"/>
      <c r="BG17" s="91"/>
      <c r="BH17" s="91"/>
      <c r="BI17" s="91">
        <v>185</v>
      </c>
      <c r="BJ17" s="91">
        <v>3307.4879999999998</v>
      </c>
      <c r="BK17" s="94">
        <f>SUM(BC17:BJ17)</f>
        <v>106619.45599999999</v>
      </c>
      <c r="BL17" s="112">
        <v>518250</v>
      </c>
      <c r="BM17" s="91"/>
      <c r="BN17" s="91">
        <f>76850+40+410</f>
        <v>77300</v>
      </c>
      <c r="BO17" s="139">
        <f>SUM(BL17:BN17)</f>
        <v>595550</v>
      </c>
      <c r="BP17" s="134" t="s">
        <v>199</v>
      </c>
      <c r="BQ17" s="201"/>
      <c r="BR17" s="405"/>
      <c r="BS17" s="58" t="s">
        <v>199</v>
      </c>
      <c r="BT17" s="139">
        <v>18764.834999999999</v>
      </c>
      <c r="BU17" s="139"/>
      <c r="BV17" s="139"/>
      <c r="BW17" s="139"/>
      <c r="BX17" s="139">
        <f t="shared" si="0"/>
        <v>18764.834999999999</v>
      </c>
      <c r="BY17" s="139"/>
      <c r="BZ17" s="139"/>
      <c r="CA17" s="94">
        <f>AS17+BB17+BK17+BO17+BX17+BY17+BZ17</f>
        <v>720974.20199999993</v>
      </c>
      <c r="CB17" s="131">
        <v>18800</v>
      </c>
      <c r="CC17" s="91"/>
      <c r="CD17" s="91"/>
      <c r="CE17" s="91">
        <v>130</v>
      </c>
      <c r="CF17" s="91"/>
      <c r="CG17" s="91"/>
      <c r="CH17" s="113">
        <v>-14612.574000000001</v>
      </c>
      <c r="CI17" s="92">
        <v>-15046.895</v>
      </c>
      <c r="CJ17" s="93"/>
      <c r="CK17" s="271">
        <f t="shared" si="3"/>
        <v>4317.4259999999995</v>
      </c>
      <c r="CL17" s="145">
        <f>(CA17+CK17)</f>
        <v>725291.62799999991</v>
      </c>
      <c r="CM17" s="58" t="s">
        <v>301</v>
      </c>
      <c r="CN17" s="4"/>
    </row>
    <row r="18" spans="2:92" ht="27.75" customHeight="1" x14ac:dyDescent="0.15">
      <c r="B18" s="405"/>
      <c r="C18" s="58" t="s">
        <v>200</v>
      </c>
      <c r="D18" s="312"/>
      <c r="E18" s="91">
        <v>212770.58</v>
      </c>
      <c r="F18" s="91"/>
      <c r="G18" s="91"/>
      <c r="H18" s="91"/>
      <c r="I18" s="91"/>
      <c r="J18" s="87">
        <f>SUM(G18:I18)</f>
        <v>0</v>
      </c>
      <c r="K18" s="91"/>
      <c r="L18" s="92"/>
      <c r="M18" s="87">
        <f>D18+E18+F18+J18+K18+L18</f>
        <v>212770.58</v>
      </c>
      <c r="N18" s="91"/>
      <c r="O18" s="91"/>
      <c r="P18" s="87">
        <f>(N18+O18)</f>
        <v>0</v>
      </c>
      <c r="Q18" s="91"/>
      <c r="R18" s="91">
        <v>14096.217000000001</v>
      </c>
      <c r="S18" s="91"/>
      <c r="T18" s="91">
        <v>729.697</v>
      </c>
      <c r="U18" s="313">
        <v>2221.7750000000001</v>
      </c>
      <c r="V18" s="314">
        <v>-122.663</v>
      </c>
      <c r="W18" s="315">
        <f>SUM(Q18:V18)</f>
        <v>16925.026000000002</v>
      </c>
      <c r="X18" s="134" t="s">
        <v>200</v>
      </c>
      <c r="Y18" s="201"/>
      <c r="Z18" s="405"/>
      <c r="AA18" s="58" t="s">
        <v>200</v>
      </c>
      <c r="AB18" s="112">
        <v>321791.99300000002</v>
      </c>
      <c r="AC18" s="113">
        <v>254936.57</v>
      </c>
      <c r="AD18" s="91">
        <v>62005.057999999997</v>
      </c>
      <c r="AE18" s="101"/>
      <c r="AF18" s="91">
        <v>451.5</v>
      </c>
      <c r="AG18" s="91">
        <v>2110</v>
      </c>
      <c r="AH18" s="313"/>
      <c r="AI18" s="119">
        <f>AB18-AC18+AD18+AE18+AF18+AG18+AH18</f>
        <v>131421.981</v>
      </c>
      <c r="AJ18" s="313"/>
      <c r="AK18" s="313"/>
      <c r="AL18" s="114"/>
      <c r="AM18" s="94">
        <f>M18+P18+W18+AI18+AJ18+AK18+AL18</f>
        <v>361117.587</v>
      </c>
      <c r="AN18" s="6"/>
      <c r="AO18" s="131"/>
      <c r="AP18" s="101"/>
      <c r="AQ18" s="316">
        <f>(AO18+AP18)</f>
        <v>0</v>
      </c>
      <c r="AR18" s="101"/>
      <c r="AS18" s="94">
        <f t="shared" si="2"/>
        <v>0</v>
      </c>
      <c r="AT18" s="134" t="s">
        <v>200</v>
      </c>
      <c r="AU18" s="201"/>
      <c r="AV18" s="405"/>
      <c r="AW18" s="58" t="s">
        <v>200</v>
      </c>
      <c r="AX18" s="112"/>
      <c r="AY18" s="91"/>
      <c r="AZ18" s="91"/>
      <c r="BA18" s="91"/>
      <c r="BB18" s="87">
        <f>SUM(AX18:BA18)</f>
        <v>0</v>
      </c>
      <c r="BC18" s="91"/>
      <c r="BD18" s="91">
        <v>7244.7640000000001</v>
      </c>
      <c r="BE18" s="91"/>
      <c r="BF18" s="91"/>
      <c r="BG18" s="91"/>
      <c r="BH18" s="91"/>
      <c r="BI18" s="91">
        <v>4680.3</v>
      </c>
      <c r="BJ18" s="91">
        <v>6301.95</v>
      </c>
      <c r="BK18" s="94">
        <f>SUM(BC18:BJ18)</f>
        <v>18227.013999999999</v>
      </c>
      <c r="BL18" s="112"/>
      <c r="BM18" s="91">
        <v>3036.1439999999998</v>
      </c>
      <c r="BN18" s="91"/>
      <c r="BO18" s="139">
        <f>SUM(BL18:BN18)</f>
        <v>3036.1439999999998</v>
      </c>
      <c r="BP18" s="134" t="s">
        <v>200</v>
      </c>
      <c r="BQ18" s="201"/>
      <c r="BR18" s="405"/>
      <c r="BS18" s="58" t="s">
        <v>200</v>
      </c>
      <c r="BT18" s="139">
        <v>2699.3850000000002</v>
      </c>
      <c r="BU18" s="139"/>
      <c r="BV18" s="139"/>
      <c r="BW18" s="139">
        <v>1100</v>
      </c>
      <c r="BX18" s="139">
        <f t="shared" si="0"/>
        <v>3799.3850000000002</v>
      </c>
      <c r="BY18" s="139"/>
      <c r="BZ18" s="139"/>
      <c r="CA18" s="94">
        <f>AS18+BB18+BK18+BO18+BX18+BY18+BZ18</f>
        <v>25062.542999999998</v>
      </c>
      <c r="CB18" s="131">
        <v>149100</v>
      </c>
      <c r="CC18" s="91"/>
      <c r="CD18" s="91">
        <v>51122.12</v>
      </c>
      <c r="CE18" s="91">
        <v>33147.141000000003</v>
      </c>
      <c r="CF18" s="91"/>
      <c r="CG18" s="91">
        <v>84041.14</v>
      </c>
      <c r="CH18" s="113">
        <v>18644.643</v>
      </c>
      <c r="CI18" s="92">
        <v>18644.643</v>
      </c>
      <c r="CJ18" s="317"/>
      <c r="CK18" s="94">
        <f>SUM(CB18:CH18)+CJ18</f>
        <v>336055.04399999999</v>
      </c>
      <c r="CL18" s="145">
        <f>(CA18+CK18)</f>
        <v>361117.587</v>
      </c>
      <c r="CM18" s="58" t="s">
        <v>200</v>
      </c>
      <c r="CN18" s="4"/>
    </row>
    <row r="19" spans="2:92" ht="27.75" customHeight="1" x14ac:dyDescent="0.15">
      <c r="B19" s="405"/>
      <c r="C19" s="58" t="s">
        <v>201</v>
      </c>
      <c r="D19" s="346">
        <v>7.9169999999999998</v>
      </c>
      <c r="E19" s="347">
        <f>116686.459+20912.441+12119.832+21300</f>
        <v>171018.73199999999</v>
      </c>
      <c r="F19" s="91"/>
      <c r="G19" s="91"/>
      <c r="H19" s="91"/>
      <c r="I19" s="91"/>
      <c r="J19" s="87">
        <f>SUM(G19:I19)</f>
        <v>0</v>
      </c>
      <c r="K19" s="91"/>
      <c r="L19" s="92"/>
      <c r="M19" s="87">
        <f>D19+E19+F19+J19+K19+L19</f>
        <v>171026.64899999998</v>
      </c>
      <c r="N19" s="91"/>
      <c r="O19" s="91"/>
      <c r="P19" s="87">
        <f>(N19+O19)</f>
        <v>0</v>
      </c>
      <c r="Q19" s="91">
        <v>219.024</v>
      </c>
      <c r="R19" s="91">
        <f>46632.196+34022.574+36048.124+6571.139</f>
        <v>123274.033</v>
      </c>
      <c r="S19" s="101"/>
      <c r="T19" s="91">
        <f>146496.297+299652.015+3363.217+12993.353</f>
        <v>462504.88200000004</v>
      </c>
      <c r="U19" s="91">
        <f>334+9338.687+5558.718+50963.591+10810.823+7703.358</f>
        <v>84709.176999999996</v>
      </c>
      <c r="V19" s="93"/>
      <c r="W19" s="94">
        <f>SUM(Q19:V19)</f>
        <v>670707.11600000004</v>
      </c>
      <c r="X19" s="134" t="s">
        <v>201</v>
      </c>
      <c r="Y19" s="201"/>
      <c r="Z19" s="405"/>
      <c r="AA19" s="58" t="s">
        <v>201</v>
      </c>
      <c r="AB19" s="112">
        <f>1694079.619-409965.15</f>
        <v>1284114.469</v>
      </c>
      <c r="AC19" s="113"/>
      <c r="AD19" s="91">
        <v>409965.15</v>
      </c>
      <c r="AE19" s="101"/>
      <c r="AF19" s="91">
        <v>9376.1939999999995</v>
      </c>
      <c r="AG19" s="91">
        <f>2000+9420+16790</f>
        <v>28210</v>
      </c>
      <c r="AH19" s="91">
        <f>11393.696+74070.078+24426.64</f>
        <v>109890.41399999999</v>
      </c>
      <c r="AI19" s="87">
        <f>AB19-AC19+AD19+AE19+AF19+AG19+AH19</f>
        <v>1841556.227</v>
      </c>
      <c r="AJ19" s="91"/>
      <c r="AK19" s="91"/>
      <c r="AL19" s="114"/>
      <c r="AM19" s="309">
        <f>M19+P19+W19+AI19+AJ19+AK19+AL19</f>
        <v>2683289.9920000001</v>
      </c>
      <c r="AN19" s="345"/>
      <c r="AO19" s="131"/>
      <c r="AP19" s="101"/>
      <c r="AQ19" s="316">
        <f>(AO19+AP19)</f>
        <v>0</v>
      </c>
      <c r="AR19" s="101"/>
      <c r="AS19" s="94">
        <f t="shared" si="2"/>
        <v>0</v>
      </c>
      <c r="AT19" s="134" t="s">
        <v>201</v>
      </c>
      <c r="AU19" s="201"/>
      <c r="AV19" s="405"/>
      <c r="AW19" s="58" t="s">
        <v>201</v>
      </c>
      <c r="AX19" s="112"/>
      <c r="AY19" s="91"/>
      <c r="AZ19" s="91"/>
      <c r="BA19" s="91"/>
      <c r="BB19" s="87">
        <f>SUM(AX19:BA19)</f>
        <v>0</v>
      </c>
      <c r="BC19" s="91">
        <v>1946.8620000000001</v>
      </c>
      <c r="BD19" s="347">
        <f>818.505+22704.443</f>
        <v>23522.948</v>
      </c>
      <c r="BE19" s="91">
        <f>802000+42300</f>
        <v>844300</v>
      </c>
      <c r="BF19" s="91"/>
      <c r="BG19" s="91"/>
      <c r="BH19" s="91">
        <v>3800</v>
      </c>
      <c r="BI19" s="91">
        <v>185</v>
      </c>
      <c r="BJ19" s="91">
        <f>25414.402+853.768+3750</f>
        <v>30018.17</v>
      </c>
      <c r="BK19" s="94">
        <f>SUM(BC19:BJ19)</f>
        <v>903772.9800000001</v>
      </c>
      <c r="BL19" s="112">
        <v>1690721</v>
      </c>
      <c r="BM19" s="91">
        <v>5000</v>
      </c>
      <c r="BN19" s="91"/>
      <c r="BO19" s="139">
        <f>SUM(BL19:BN19)</f>
        <v>1695721</v>
      </c>
      <c r="BP19" s="134" t="s">
        <v>201</v>
      </c>
      <c r="BQ19" s="201"/>
      <c r="BR19" s="405"/>
      <c r="BS19" s="58" t="s">
        <v>201</v>
      </c>
      <c r="BT19" s="139"/>
      <c r="BU19" s="139"/>
      <c r="BV19" s="139"/>
      <c r="BW19" s="139"/>
      <c r="BX19" s="139">
        <f t="shared" si="0"/>
        <v>0</v>
      </c>
      <c r="BY19" s="139"/>
      <c r="BZ19" s="139"/>
      <c r="CA19" s="94">
        <f>AS19+BB19+BK19+BO19+BX19+BY19+BZ19</f>
        <v>2599493.98</v>
      </c>
      <c r="CB19" s="131">
        <v>95400</v>
      </c>
      <c r="CC19" s="91"/>
      <c r="CD19" s="91">
        <v>3259.9870000000001</v>
      </c>
      <c r="CE19" s="91">
        <v>43920</v>
      </c>
      <c r="CF19" s="91"/>
      <c r="CG19" s="91">
        <v>63000</v>
      </c>
      <c r="CH19" s="113">
        <v>-121783.97500000001</v>
      </c>
      <c r="CI19" s="92">
        <v>-27494.164000000001</v>
      </c>
      <c r="CJ19" s="93"/>
      <c r="CK19" s="94">
        <f t="shared" si="3"/>
        <v>83796.011999999988</v>
      </c>
      <c r="CL19" s="145">
        <f>(CA19+CK19)</f>
        <v>2683289.9920000001</v>
      </c>
      <c r="CM19" s="58" t="s">
        <v>201</v>
      </c>
      <c r="CN19" s="4"/>
    </row>
    <row r="20" spans="2:92" ht="27.75" customHeight="1" x14ac:dyDescent="0.15">
      <c r="B20" s="406"/>
      <c r="C20" s="59" t="s">
        <v>178</v>
      </c>
      <c r="D20" s="348">
        <f t="shared" ref="D20:N20" si="19">SUM(D16:D19)</f>
        <v>480.47699999999998</v>
      </c>
      <c r="E20" s="97">
        <f t="shared" si="19"/>
        <v>811039.25799999991</v>
      </c>
      <c r="F20" s="97">
        <f t="shared" si="19"/>
        <v>0</v>
      </c>
      <c r="G20" s="97">
        <f t="shared" si="19"/>
        <v>0</v>
      </c>
      <c r="H20" s="97">
        <f t="shared" si="19"/>
        <v>0</v>
      </c>
      <c r="I20" s="97">
        <f t="shared" si="19"/>
        <v>0</v>
      </c>
      <c r="J20" s="97">
        <f t="shared" si="19"/>
        <v>0</v>
      </c>
      <c r="K20" s="97">
        <f t="shared" si="19"/>
        <v>0</v>
      </c>
      <c r="L20" s="98">
        <f t="shared" si="19"/>
        <v>0</v>
      </c>
      <c r="M20" s="97">
        <f t="shared" si="19"/>
        <v>811519.73499999999</v>
      </c>
      <c r="N20" s="97">
        <f t="shared" si="19"/>
        <v>0</v>
      </c>
      <c r="O20" s="97">
        <f t="shared" ref="O20:AC20" si="20">SUM(O16:O19)</f>
        <v>0</v>
      </c>
      <c r="P20" s="97">
        <f t="shared" si="20"/>
        <v>0</v>
      </c>
      <c r="Q20" s="97">
        <f>SUM(Q16:Q19)</f>
        <v>219.024</v>
      </c>
      <c r="R20" s="96">
        <f t="shared" si="20"/>
        <v>196059.98300000001</v>
      </c>
      <c r="S20" s="96">
        <f t="shared" si="20"/>
        <v>0</v>
      </c>
      <c r="T20" s="96">
        <f t="shared" si="20"/>
        <v>576508.28700000001</v>
      </c>
      <c r="U20" s="97">
        <f t="shared" si="20"/>
        <v>92662.967000000004</v>
      </c>
      <c r="V20" s="349">
        <f t="shared" si="20"/>
        <v>-482.08300000000003</v>
      </c>
      <c r="W20" s="123">
        <f t="shared" si="20"/>
        <v>864968.17800000007</v>
      </c>
      <c r="X20" s="136" t="s">
        <v>178</v>
      </c>
      <c r="Y20" s="201"/>
      <c r="Z20" s="406"/>
      <c r="AA20" s="59" t="s">
        <v>178</v>
      </c>
      <c r="AB20" s="117">
        <f t="shared" si="20"/>
        <v>2856363.9589999998</v>
      </c>
      <c r="AC20" s="98">
        <f t="shared" si="20"/>
        <v>1049909.1850000001</v>
      </c>
      <c r="AD20" s="97">
        <f t="shared" ref="AD20:AJ20" si="21">SUM(AD16:AD19)</f>
        <v>677188.23900000006</v>
      </c>
      <c r="AE20" s="96">
        <f t="shared" si="21"/>
        <v>0</v>
      </c>
      <c r="AF20" s="97">
        <f t="shared" si="21"/>
        <v>11871.083999999999</v>
      </c>
      <c r="AG20" s="97">
        <f>SUM(AG16:AG19)</f>
        <v>88130</v>
      </c>
      <c r="AH20" s="97">
        <f t="shared" si="21"/>
        <v>178661.73800000001</v>
      </c>
      <c r="AI20" s="97">
        <f t="shared" si="1"/>
        <v>2762305.8349999995</v>
      </c>
      <c r="AJ20" s="118">
        <f t="shared" si="21"/>
        <v>0</v>
      </c>
      <c r="AK20" s="279">
        <f>SUM(AK16:AK19)</f>
        <v>0</v>
      </c>
      <c r="AL20" s="122">
        <f>SUM(AL16:AL19)</f>
        <v>0</v>
      </c>
      <c r="AM20" s="123">
        <f>SUM(AM16:AM19)</f>
        <v>4438793.7480000006</v>
      </c>
      <c r="AN20" s="345"/>
      <c r="AO20" s="130">
        <f t="shared" ref="AO20:AX20" si="22">SUM(AO16:AO19)</f>
        <v>0</v>
      </c>
      <c r="AP20" s="97">
        <f t="shared" si="22"/>
        <v>0</v>
      </c>
      <c r="AQ20" s="97">
        <f t="shared" si="22"/>
        <v>0</v>
      </c>
      <c r="AR20" s="97">
        <f t="shared" si="22"/>
        <v>0</v>
      </c>
      <c r="AS20" s="100">
        <f t="shared" si="2"/>
        <v>0</v>
      </c>
      <c r="AT20" s="136" t="s">
        <v>178</v>
      </c>
      <c r="AU20" s="201"/>
      <c r="AV20" s="406"/>
      <c r="AW20" s="59" t="s">
        <v>178</v>
      </c>
      <c r="AX20" s="130">
        <f t="shared" si="22"/>
        <v>0</v>
      </c>
      <c r="AY20" s="97">
        <f t="shared" ref="AY20:BG20" si="23">SUM(AY16:AY19)</f>
        <v>0</v>
      </c>
      <c r="AZ20" s="97">
        <f t="shared" si="23"/>
        <v>0</v>
      </c>
      <c r="BA20" s="97">
        <f t="shared" si="23"/>
        <v>39.911000000000001</v>
      </c>
      <c r="BB20" s="97">
        <f t="shared" si="23"/>
        <v>39.911000000000001</v>
      </c>
      <c r="BC20" s="97">
        <f t="shared" si="23"/>
        <v>1946.8620000000001</v>
      </c>
      <c r="BD20" s="350">
        <f t="shared" si="23"/>
        <v>54885.428</v>
      </c>
      <c r="BE20" s="97">
        <f t="shared" si="23"/>
        <v>924300</v>
      </c>
      <c r="BF20" s="97">
        <f t="shared" si="23"/>
        <v>0</v>
      </c>
      <c r="BG20" s="97">
        <f t="shared" si="23"/>
        <v>0</v>
      </c>
      <c r="BH20" s="97">
        <f t="shared" ref="BH20:BM20" si="24">SUM(BH16:BH19)</f>
        <v>3800</v>
      </c>
      <c r="BI20" s="97">
        <f t="shared" si="24"/>
        <v>19525.8</v>
      </c>
      <c r="BJ20" s="97">
        <f t="shared" si="24"/>
        <v>41156.262000000002</v>
      </c>
      <c r="BK20" s="100">
        <f t="shared" si="24"/>
        <v>1045614.3520000001</v>
      </c>
      <c r="BL20" s="130">
        <f t="shared" si="24"/>
        <v>2780841.8969999999</v>
      </c>
      <c r="BM20" s="97">
        <f t="shared" si="24"/>
        <v>8036.1440000000002</v>
      </c>
      <c r="BN20" s="97">
        <f>SUM(BN17:BN19)</f>
        <v>77300</v>
      </c>
      <c r="BO20" s="351">
        <f>SUM(BO16:BO19)</f>
        <v>2866178.0410000002</v>
      </c>
      <c r="BP20" s="136" t="s">
        <v>178</v>
      </c>
      <c r="BQ20" s="201"/>
      <c r="BR20" s="406"/>
      <c r="BS20" s="59" t="s">
        <v>178</v>
      </c>
      <c r="BT20" s="351">
        <f t="shared" ref="BT20:CA20" si="25">SUM(BT16:BT19)</f>
        <v>21934.07</v>
      </c>
      <c r="BU20" s="351">
        <f t="shared" si="25"/>
        <v>0</v>
      </c>
      <c r="BV20" s="351">
        <f t="shared" si="25"/>
        <v>0</v>
      </c>
      <c r="BW20" s="351">
        <f t="shared" si="25"/>
        <v>1100</v>
      </c>
      <c r="BX20" s="351">
        <f t="shared" si="25"/>
        <v>23034.07</v>
      </c>
      <c r="BY20" s="122">
        <f t="shared" si="25"/>
        <v>0</v>
      </c>
      <c r="BZ20" s="122">
        <f t="shared" si="25"/>
        <v>0</v>
      </c>
      <c r="CA20" s="100">
        <f t="shared" si="25"/>
        <v>3934866.3739999998</v>
      </c>
      <c r="CB20" s="117">
        <f t="shared" ref="CB20:CI20" si="26">SUM(CB16:CB19)</f>
        <v>285300</v>
      </c>
      <c r="CC20" s="97">
        <f t="shared" si="26"/>
        <v>0</v>
      </c>
      <c r="CD20" s="97">
        <f t="shared" si="26"/>
        <v>54382.107000000004</v>
      </c>
      <c r="CE20" s="97">
        <f t="shared" si="26"/>
        <v>121197.141</v>
      </c>
      <c r="CF20" s="97">
        <f t="shared" si="26"/>
        <v>0</v>
      </c>
      <c r="CG20" s="97">
        <f t="shared" si="26"/>
        <v>247041.14</v>
      </c>
      <c r="CH20" s="124">
        <f t="shared" si="26"/>
        <v>-203993.01400000002</v>
      </c>
      <c r="CI20" s="98">
        <f t="shared" si="26"/>
        <v>-56116.457000000002</v>
      </c>
      <c r="CJ20" s="349">
        <f>SUM(CJ16:CJ19)</f>
        <v>0</v>
      </c>
      <c r="CK20" s="100">
        <f t="shared" si="3"/>
        <v>503927.37400000001</v>
      </c>
      <c r="CL20" s="146">
        <f>SUM(CL16:CL19)</f>
        <v>4438793.7479999997</v>
      </c>
      <c r="CM20" s="59" t="s">
        <v>178</v>
      </c>
      <c r="CN20" s="4"/>
    </row>
    <row r="21" spans="2:92" ht="27.75" customHeight="1" x14ac:dyDescent="0.15">
      <c r="B21" s="402" t="s">
        <v>202</v>
      </c>
      <c r="C21" s="403"/>
      <c r="D21" s="102">
        <f t="shared" ref="D21:W21" si="27">((D10+D15)+D20)</f>
        <v>1862.7049999999999</v>
      </c>
      <c r="E21" s="103">
        <f>((E10+E15)+E20)</f>
        <v>2071572.0219999999</v>
      </c>
      <c r="F21" s="103">
        <f t="shared" si="27"/>
        <v>0</v>
      </c>
      <c r="G21" s="104">
        <f t="shared" si="27"/>
        <v>56210</v>
      </c>
      <c r="H21" s="103">
        <f t="shared" si="27"/>
        <v>0</v>
      </c>
      <c r="I21" s="103">
        <f t="shared" si="27"/>
        <v>0</v>
      </c>
      <c r="J21" s="104">
        <f t="shared" si="27"/>
        <v>56210</v>
      </c>
      <c r="K21" s="103">
        <f t="shared" si="27"/>
        <v>574.91199999999992</v>
      </c>
      <c r="L21" s="105">
        <f t="shared" si="27"/>
        <v>-33280</v>
      </c>
      <c r="M21" s="104">
        <f t="shared" si="27"/>
        <v>2096939.639</v>
      </c>
      <c r="N21" s="103">
        <f t="shared" si="27"/>
        <v>0</v>
      </c>
      <c r="O21" s="103">
        <f t="shared" si="27"/>
        <v>12.679</v>
      </c>
      <c r="P21" s="103">
        <f t="shared" si="27"/>
        <v>12.679</v>
      </c>
      <c r="Q21" s="103">
        <f t="shared" si="27"/>
        <v>219.024</v>
      </c>
      <c r="R21" s="104">
        <f t="shared" si="27"/>
        <v>320053.33999999997</v>
      </c>
      <c r="S21" s="103">
        <f t="shared" si="27"/>
        <v>0</v>
      </c>
      <c r="T21" s="103">
        <f t="shared" si="27"/>
        <v>592690.33200000005</v>
      </c>
      <c r="U21" s="103">
        <f t="shared" si="27"/>
        <v>117041.416</v>
      </c>
      <c r="V21" s="106">
        <f t="shared" si="27"/>
        <v>-1348.3410000000001</v>
      </c>
      <c r="W21" s="107">
        <f t="shared" si="27"/>
        <v>1028655.7710000001</v>
      </c>
      <c r="X21" s="82" t="s">
        <v>51</v>
      </c>
      <c r="Y21" s="206"/>
      <c r="Z21" s="402" t="s">
        <v>89</v>
      </c>
      <c r="AA21" s="403"/>
      <c r="AB21" s="125">
        <f t="shared" ref="AB21:AM21" si="28">((AB10+AB15)+AB20)</f>
        <v>5554207.0189999994</v>
      </c>
      <c r="AC21" s="105">
        <f t="shared" si="28"/>
        <v>2615002.3909999998</v>
      </c>
      <c r="AD21" s="104">
        <f t="shared" si="28"/>
        <v>1458499.2310000001</v>
      </c>
      <c r="AE21" s="104">
        <f t="shared" si="28"/>
        <v>0</v>
      </c>
      <c r="AF21" s="103">
        <f t="shared" si="28"/>
        <v>16756.297999999999</v>
      </c>
      <c r="AG21" s="104">
        <f t="shared" si="28"/>
        <v>199908.5</v>
      </c>
      <c r="AH21" s="103">
        <f t="shared" si="28"/>
        <v>192547.52300000002</v>
      </c>
      <c r="AI21" s="103">
        <f t="shared" si="1"/>
        <v>4806916.18</v>
      </c>
      <c r="AJ21" s="103">
        <f t="shared" si="28"/>
        <v>1523.55</v>
      </c>
      <c r="AK21" s="126">
        <f t="shared" si="28"/>
        <v>2455.326</v>
      </c>
      <c r="AL21" s="126">
        <f t="shared" si="28"/>
        <v>0</v>
      </c>
      <c r="AM21" s="107">
        <f t="shared" si="28"/>
        <v>7936503.1450000005</v>
      </c>
      <c r="AN21" s="45" t="s">
        <v>28</v>
      </c>
      <c r="AO21" s="125">
        <f>((AO10+AO15)+AO20)</f>
        <v>29060</v>
      </c>
      <c r="AP21" s="103">
        <f>((AP10+AP15)+AP20)</f>
        <v>0</v>
      </c>
      <c r="AQ21" s="104">
        <f>((AQ10+AQ15)+AQ20)</f>
        <v>29060</v>
      </c>
      <c r="AR21" s="103">
        <f>((AR10+AR15)+AR20)</f>
        <v>943.68099999999993</v>
      </c>
      <c r="AS21" s="132">
        <f t="shared" si="2"/>
        <v>30003.681</v>
      </c>
      <c r="AT21" s="82" t="s">
        <v>52</v>
      </c>
      <c r="AU21" s="206"/>
      <c r="AV21" s="402" t="s">
        <v>90</v>
      </c>
      <c r="AW21" s="403"/>
      <c r="AX21" s="102">
        <f t="shared" ref="AX21:BM21" si="29">((AX10+AX15)+AX20)</f>
        <v>0</v>
      </c>
      <c r="AY21" s="103">
        <f t="shared" si="29"/>
        <v>1333.184</v>
      </c>
      <c r="AZ21" s="103">
        <f t="shared" si="29"/>
        <v>351.81299999999999</v>
      </c>
      <c r="BA21" s="103">
        <f t="shared" si="29"/>
        <v>39.911000000000001</v>
      </c>
      <c r="BB21" s="103">
        <f t="shared" si="29"/>
        <v>1724.9079999999999</v>
      </c>
      <c r="BC21" s="103">
        <f t="shared" si="29"/>
        <v>1946.8620000000001</v>
      </c>
      <c r="BD21" s="104">
        <f t="shared" si="29"/>
        <v>91730.62</v>
      </c>
      <c r="BE21" s="103">
        <f t="shared" si="29"/>
        <v>1143400</v>
      </c>
      <c r="BF21" s="103">
        <f t="shared" si="29"/>
        <v>0</v>
      </c>
      <c r="BG21" s="103">
        <f t="shared" si="29"/>
        <v>0</v>
      </c>
      <c r="BH21" s="103">
        <f t="shared" si="29"/>
        <v>3800</v>
      </c>
      <c r="BI21" s="104">
        <f t="shared" si="29"/>
        <v>39685</v>
      </c>
      <c r="BJ21" s="104">
        <f t="shared" si="29"/>
        <v>115716.82400000001</v>
      </c>
      <c r="BK21" s="107">
        <f t="shared" si="29"/>
        <v>1396279.3060000001</v>
      </c>
      <c r="BL21" s="125">
        <f t="shared" si="29"/>
        <v>4365019.8969999999</v>
      </c>
      <c r="BM21" s="104">
        <f t="shared" si="29"/>
        <v>8036.1440000000002</v>
      </c>
      <c r="BN21" s="140">
        <f>((BN10+BN15)+BN20)</f>
        <v>468082.36</v>
      </c>
      <c r="BO21" s="140">
        <f>((BO10+BO15)+BO20)</f>
        <v>4841138.4010000005</v>
      </c>
      <c r="BP21" s="137" t="s">
        <v>91</v>
      </c>
      <c r="BQ21" s="202"/>
      <c r="BR21" s="464" t="s">
        <v>90</v>
      </c>
      <c r="BS21" s="465"/>
      <c r="BT21" s="140">
        <f>BT10+BT15+BT20</f>
        <v>60235.246999999996</v>
      </c>
      <c r="BU21" s="140">
        <f t="shared" ref="BU21:CA21" si="30">BU10+BU15+BU20</f>
        <v>0</v>
      </c>
      <c r="BV21" s="140">
        <f t="shared" si="30"/>
        <v>0</v>
      </c>
      <c r="BW21" s="140">
        <f t="shared" si="30"/>
        <v>1100</v>
      </c>
      <c r="BX21" s="104">
        <f t="shared" si="30"/>
        <v>61335.246999999996</v>
      </c>
      <c r="BY21" s="140">
        <f t="shared" si="30"/>
        <v>0</v>
      </c>
      <c r="BZ21" s="140">
        <f t="shared" si="30"/>
        <v>0</v>
      </c>
      <c r="CA21" s="107">
        <f t="shared" si="30"/>
        <v>6330481.5429999996</v>
      </c>
      <c r="CB21" s="125">
        <f t="shared" ref="CB21:CI21" si="31">((CB10+CB15)+CB20)</f>
        <v>813527</v>
      </c>
      <c r="CC21" s="104">
        <f t="shared" si="31"/>
        <v>0</v>
      </c>
      <c r="CD21" s="104">
        <f t="shared" si="31"/>
        <v>71942.659</v>
      </c>
      <c r="CE21" s="104">
        <f t="shared" si="31"/>
        <v>538947.14100000006</v>
      </c>
      <c r="CF21" s="104">
        <f t="shared" si="31"/>
        <v>0</v>
      </c>
      <c r="CG21" s="104">
        <f t="shared" si="31"/>
        <v>417356.43400000001</v>
      </c>
      <c r="CH21" s="105">
        <f t="shared" si="31"/>
        <v>-234321.63200000004</v>
      </c>
      <c r="CI21" s="105">
        <f t="shared" si="31"/>
        <v>-5366352.8290000008</v>
      </c>
      <c r="CJ21" s="147">
        <f>CJ10+CJ15+CJ20</f>
        <v>-2430</v>
      </c>
      <c r="CK21" s="107">
        <f t="shared" si="3"/>
        <v>1605021.6020000002</v>
      </c>
      <c r="CL21" s="148">
        <f>((CL10+CL15)+CL20)</f>
        <v>7935503.1449999996</v>
      </c>
      <c r="CM21" s="137" t="s">
        <v>91</v>
      </c>
      <c r="CN21" s="4"/>
    </row>
  </sheetData>
  <mergeCells count="101">
    <mergeCell ref="W3:X3"/>
    <mergeCell ref="AS3:AT3"/>
    <mergeCell ref="BC5:BC6"/>
    <mergeCell ref="Q4:W4"/>
    <mergeCell ref="R5:R6"/>
    <mergeCell ref="AO5:AQ5"/>
    <mergeCell ref="W5:W6"/>
    <mergeCell ref="V5:V6"/>
    <mergeCell ref="X4:X6"/>
    <mergeCell ref="S5:S6"/>
    <mergeCell ref="T5:T6"/>
    <mergeCell ref="U5:U6"/>
    <mergeCell ref="Z4:Z6"/>
    <mergeCell ref="AG5:AG6"/>
    <mergeCell ref="BR7:BR10"/>
    <mergeCell ref="BA5:BA6"/>
    <mergeCell ref="BO5:BO6"/>
    <mergeCell ref="CB5:CB6"/>
    <mergeCell ref="AV21:AW21"/>
    <mergeCell ref="AO4:AS4"/>
    <mergeCell ref="AJ4:AJ6"/>
    <mergeCell ref="AS5:AS6"/>
    <mergeCell ref="AB4:AI4"/>
    <mergeCell ref="AR5:AR6"/>
    <mergeCell ref="BK5:BK6"/>
    <mergeCell ref="BF5:BF6"/>
    <mergeCell ref="BI5:BI6"/>
    <mergeCell ref="AX5:AX6"/>
    <mergeCell ref="AZ5:AZ6"/>
    <mergeCell ref="BE5:BE6"/>
    <mergeCell ref="BH5:BH6"/>
    <mergeCell ref="AV16:AV20"/>
    <mergeCell ref="AX4:BB4"/>
    <mergeCell ref="AW4:AW6"/>
    <mergeCell ref="BC4:BK4"/>
    <mergeCell ref="BJ5:BJ6"/>
    <mergeCell ref="BG5:BG6"/>
    <mergeCell ref="AI5:AI6"/>
    <mergeCell ref="AV11:AV15"/>
    <mergeCell ref="AT4:AT6"/>
    <mergeCell ref="Z21:AA21"/>
    <mergeCell ref="AL4:AL6"/>
    <mergeCell ref="AK4:AK6"/>
    <mergeCell ref="AA4:AA6"/>
    <mergeCell ref="AM4:AM6"/>
    <mergeCell ref="B21:C21"/>
    <mergeCell ref="B4:B6"/>
    <mergeCell ref="B7:B10"/>
    <mergeCell ref="B11:B15"/>
    <mergeCell ref="B16:B20"/>
    <mergeCell ref="C4:C6"/>
    <mergeCell ref="Z16:Z20"/>
    <mergeCell ref="Z11:Z15"/>
    <mergeCell ref="AD5:AD6"/>
    <mergeCell ref="D4:M4"/>
    <mergeCell ref="G5:J5"/>
    <mergeCell ref="N4:P4"/>
    <mergeCell ref="F5:F6"/>
    <mergeCell ref="N5:N6"/>
    <mergeCell ref="Z7:Z10"/>
    <mergeCell ref="CL4:CL6"/>
    <mergeCell ref="CB4:CK4"/>
    <mergeCell ref="CH5:CI5"/>
    <mergeCell ref="BO3:BP3"/>
    <mergeCell ref="BY4:BY6"/>
    <mergeCell ref="BX5:BX6"/>
    <mergeCell ref="BT5:BT6"/>
    <mergeCell ref="BT4:BX4"/>
    <mergeCell ref="BW5:BW6"/>
    <mergeCell ref="BL4:BO4"/>
    <mergeCell ref="BZ4:BZ6"/>
    <mergeCell ref="BR4:BR6"/>
    <mergeCell ref="CL3:CM3"/>
    <mergeCell ref="CM4:CM6"/>
    <mergeCell ref="CJ5:CJ6"/>
    <mergeCell ref="CD5:CE5"/>
    <mergeCell ref="CK5:CK6"/>
    <mergeCell ref="A12:A14"/>
    <mergeCell ref="Y12:Y14"/>
    <mergeCell ref="AU12:AU14"/>
    <mergeCell ref="BQ12:BQ14"/>
    <mergeCell ref="BR21:BS21"/>
    <mergeCell ref="BR16:BR20"/>
    <mergeCell ref="BN5:BN6"/>
    <mergeCell ref="BU5:BU6"/>
    <mergeCell ref="BV5:BV6"/>
    <mergeCell ref="BS4:BS6"/>
    <mergeCell ref="BP4:BP6"/>
    <mergeCell ref="E5:E6"/>
    <mergeCell ref="K5:K6"/>
    <mergeCell ref="Q5:Q6"/>
    <mergeCell ref="M5:M6"/>
    <mergeCell ref="P5:P6"/>
    <mergeCell ref="L5:L6"/>
    <mergeCell ref="O5:O6"/>
    <mergeCell ref="D5:D6"/>
    <mergeCell ref="AV7:AV10"/>
    <mergeCell ref="BD5:BD6"/>
    <mergeCell ref="AY5:AY6"/>
    <mergeCell ref="BB5:BB6"/>
    <mergeCell ref="AV4:AV6"/>
  </mergeCells>
  <phoneticPr fontId="1"/>
  <printOptions horizontalCentered="1" gridLinesSet="0"/>
  <pageMargins left="0" right="0.31496062992125984" top="0.59055118110236227" bottom="0.59055118110236227" header="0.51181102362204722" footer="0.51181102362204722"/>
  <pageSetup paperSize="9" scale="80" firstPageNumber="61" orientation="landscape" useFirstPageNumber="1" r:id="rId1"/>
  <headerFooter alignWithMargins="0"/>
  <colBreaks count="3" manualBreakCount="3">
    <brk id="24" max="20" man="1"/>
    <brk id="46" max="20" man="1"/>
    <brk id="68" max="20" man="1"/>
  </colBreaks>
  <ignoredErrors>
    <ignoredError sqref="D20:W20 E10:W10 CL10 CL15 D18 E15:R15 BH15:BI15 Z20 Z7:Z14 Z16:Z19 Z15 AB20:AF20 AF7 AB15:AS15 AV20 AV7:AV14 AV16:AV19 AV15 AX20:BN20 AX10:BI10 AX19:BB19 AX15:BF15 BR15 BR20 BR7:BR14 BR16:BR19 BT15:CJ15 BT20:CK20 BT10:BU10 BU19:BV19 G19:P19 F14:L14 AB14:AE14 AN13:AS13 AN16:AS16 AX14:BC14 BT14:CA14 T15:W15 F17:J17 AC10:AS10 AJ8 AI21 F7 H7:J7 M7:N7 W7 F8 AI7:AN7 AP7:AQ7 AS7 AX7 BA7:BC7 BF7:BH7 BK7 BM7 BO7 BU7:CA7 CC7 CE7:CG7 H8:J8 M8:P8 S8 AL8:AN8 AP8 AS8 AX8 BA8:BC8 BF8:BH8 BK8 BM8 BO8 BU8:BV8 BX8:CA8 CC8:CD8 CF8 CJ8 F9:Q9 S9 AI9:AS9 AX9:BC9 BE9:BH9 BO9 BU9:CA9 CC9 CF9 CJ9 F12 F11 I11:J11 M11:N11 W11 AE12 AI11:AN11 AQ11:AS11 BA12:BC12 AX11:AY11 BF11:BH11 BU12:CA12 BU11 CC11 CF11:CG11 S12 W12 P12:Q12 AI12:AJ12 AL12:AN12 BF12:BH12 BO12 CC12 S14:T14 W14 AI14:AS14 BO14 BE14:BH14 CC14:CD14 CF14 L17:Q17 S17 AE17 AL17:AQ17 AS17 AX17 AZ17 BF17:BH17 BO17 BU17:BY17 CA17 CJ17 F18:Q18 S18 W18 AE18 AH18 AX18:BC18 BF18:BH18 BK18 BN18:BO18 BU18:BV18 CC18 CF18 AJ19:AS19 BK19 BN19:BO19 CC19 CF19 CJ19 N14:Q14 CF12:CG12 CC17 BX18:CA18 Q7 BO11 BO15 BO20 BB17:BC17 P11:Q11 BA11:BC11 BW10:CD10 BW11:CA11 AQ12:AS12 H12:M12 CF10:CJ10 AJ18:AS18 BX19:BZ19 AH20:AS20 BO10" formula="1"/>
    <ignoredError sqref="CK9:CK10 BG15 CK15 CK17 S15 W16 CK12 CK19" formula="1" formulaRange="1"/>
    <ignoredError sqref="CK16 CK13:CK14 CK18 CK7:CK8" formulaRange="1"/>
    <ignoredError sqref="R19:U19 E19 AB19:AH19 BD19:BE19 BH19:BJ19 BJ9 BJ13:BN13 BL9 BN9 BJ11 BL11 BJ12 BL12 BN12 BJ16 BJ14 BJ17 BL17 BN17 BJ15 BL16:BN16 CH14" unlockedFormula="1"/>
    <ignoredError sqref="BF19:BG19 BK15:BN15 BM11:BN11 BM17 BK17 BK14:BN14 BM12 BK12 BK11 BM9 BK9 BJ10:BN10" formula="1" unlockedFormula="1"/>
    <ignoredError sqref="BK1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FM20"/>
  <sheetViews>
    <sheetView showWhiteSpace="0" view="pageBreakPreview" zoomScale="115" zoomScaleNormal="115" zoomScaleSheetLayoutView="115" workbookViewId="0">
      <selection activeCell="AS10" sqref="AS10"/>
    </sheetView>
  </sheetViews>
  <sheetFormatPr defaultColWidth="10.625" defaultRowHeight="23.1" customHeight="1" x14ac:dyDescent="0.15"/>
  <cols>
    <col min="1" max="1" width="2.5" style="7" customWidth="1"/>
    <col min="2" max="2" width="2.25" style="7" customWidth="1"/>
    <col min="3" max="3" width="9.375" style="7" customWidth="1"/>
    <col min="4" max="4" width="5.75" style="7" customWidth="1"/>
    <col min="5" max="5" width="5.125" style="7" customWidth="1"/>
    <col min="6" max="6" width="5.25" style="7" customWidth="1"/>
    <col min="7" max="8" width="5.375" style="7" customWidth="1"/>
    <col min="9" max="9" width="5.875" style="7" customWidth="1"/>
    <col min="10" max="11" width="6.375" style="7" customWidth="1"/>
    <col min="12" max="12" width="6.5" style="7" customWidth="1"/>
    <col min="13" max="13" width="6.875" style="7" customWidth="1"/>
    <col min="14" max="14" width="7.125" style="7" customWidth="1"/>
    <col min="15" max="15" width="7.25" style="7" customWidth="1"/>
    <col min="16" max="16" width="7" style="7" customWidth="1"/>
    <col min="17" max="17" width="6.625" style="7" customWidth="1"/>
    <col min="18" max="18" width="7.375" style="7" customWidth="1"/>
    <col min="19" max="19" width="9.375" style="7" customWidth="1"/>
    <col min="20" max="21" width="2.5" style="7" customWidth="1"/>
    <col min="22" max="22" width="10.625" style="7" customWidth="1"/>
    <col min="23" max="28" width="6.875" style="7" customWidth="1"/>
    <col min="29" max="30" width="8.25" style="7" customWidth="1"/>
    <col min="31" max="31" width="8.875" style="7" customWidth="1"/>
    <col min="32" max="34" width="8.25" style="7" customWidth="1"/>
    <col min="35" max="35" width="10.625" style="7" customWidth="1"/>
    <col min="36" max="36" width="2.5" style="7" customWidth="1"/>
    <col min="37" max="37" width="2.125" style="7" customWidth="1"/>
    <col min="38" max="38" width="9.375" style="7" customWidth="1"/>
    <col min="39" max="39" width="6.125" style="7" customWidth="1"/>
    <col min="40" max="40" width="7.5" style="7" customWidth="1"/>
    <col min="41" max="41" width="7.25" style="7" customWidth="1"/>
    <col min="42" max="42" width="6.5" style="7" customWidth="1"/>
    <col min="43" max="43" width="6.625" style="7" customWidth="1"/>
    <col min="44" max="44" width="7" style="7" customWidth="1"/>
    <col min="45" max="45" width="6.75" style="7" customWidth="1"/>
    <col min="46" max="46" width="6.875" style="7" customWidth="1"/>
    <col min="47" max="47" width="6.75" style="7" customWidth="1"/>
    <col min="48" max="48" width="5.25" style="7" customWidth="1"/>
    <col min="49" max="49" width="5" style="7" customWidth="1"/>
    <col min="50" max="50" width="6.875" style="7" customWidth="1"/>
    <col min="51" max="51" width="7.125" style="7" customWidth="1"/>
    <col min="52" max="52" width="5.375" style="7" customWidth="1"/>
    <col min="53" max="53" width="8.875" style="7" bestFit="1" customWidth="1"/>
    <col min="54" max="54" width="8.875" style="7" customWidth="1"/>
    <col min="55" max="16384" width="10.625" style="7"/>
  </cols>
  <sheetData>
    <row r="1" spans="1:169" ht="10.5" customHeight="1" x14ac:dyDescent="0.1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169" ht="18" customHeight="1" x14ac:dyDescent="0.15">
      <c r="B2" s="9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169" ht="21" customHeight="1" x14ac:dyDescent="0.15">
      <c r="B3" s="179" t="s">
        <v>290</v>
      </c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84" t="s">
        <v>243</v>
      </c>
      <c r="S3" s="584"/>
      <c r="T3" s="209"/>
      <c r="U3" s="13"/>
      <c r="V3" s="179" t="s">
        <v>291</v>
      </c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84" t="s">
        <v>243</v>
      </c>
      <c r="AI3" s="584"/>
      <c r="AJ3" s="209"/>
      <c r="AK3" s="13"/>
      <c r="AL3" s="11" t="s">
        <v>291</v>
      </c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584" t="s">
        <v>243</v>
      </c>
      <c r="BB3" s="584"/>
    </row>
    <row r="4" spans="1:169" ht="24.75" customHeight="1" x14ac:dyDescent="0.15">
      <c r="B4" s="180" t="s">
        <v>0</v>
      </c>
      <c r="C4" s="582" t="s">
        <v>205</v>
      </c>
      <c r="D4" s="580" t="s">
        <v>206</v>
      </c>
      <c r="E4" s="576"/>
      <c r="F4" s="576"/>
      <c r="G4" s="576" t="s">
        <v>207</v>
      </c>
      <c r="H4" s="576"/>
      <c r="I4" s="576"/>
      <c r="J4" s="576" t="s">
        <v>208</v>
      </c>
      <c r="K4" s="576"/>
      <c r="L4" s="576"/>
      <c r="M4" s="576" t="s">
        <v>209</v>
      </c>
      <c r="N4" s="576"/>
      <c r="O4" s="576"/>
      <c r="P4" s="576" t="s">
        <v>210</v>
      </c>
      <c r="Q4" s="576"/>
      <c r="R4" s="587"/>
      <c r="S4" s="588" t="s">
        <v>205</v>
      </c>
      <c r="T4" s="210"/>
      <c r="U4" s="180" t="s">
        <v>0</v>
      </c>
      <c r="V4" s="582" t="s">
        <v>205</v>
      </c>
      <c r="W4" s="580" t="s">
        <v>211</v>
      </c>
      <c r="X4" s="576"/>
      <c r="Y4" s="576"/>
      <c r="Z4" s="576" t="s">
        <v>212</v>
      </c>
      <c r="AA4" s="576"/>
      <c r="AB4" s="576"/>
      <c r="AC4" s="576" t="s">
        <v>213</v>
      </c>
      <c r="AD4" s="576"/>
      <c r="AE4" s="576"/>
      <c r="AF4" s="576" t="s">
        <v>214</v>
      </c>
      <c r="AG4" s="576"/>
      <c r="AH4" s="587"/>
      <c r="AI4" s="588" t="s">
        <v>205</v>
      </c>
      <c r="AJ4" s="210"/>
      <c r="AK4" s="180" t="s">
        <v>0</v>
      </c>
      <c r="AL4" s="582" t="s">
        <v>205</v>
      </c>
      <c r="AM4" s="605" t="s">
        <v>215</v>
      </c>
      <c r="AN4" s="606"/>
      <c r="AO4" s="585" t="s">
        <v>267</v>
      </c>
      <c r="AP4" s="585" t="s">
        <v>266</v>
      </c>
      <c r="AQ4" s="585" t="s">
        <v>265</v>
      </c>
      <c r="AR4" s="585" t="s">
        <v>228</v>
      </c>
      <c r="AS4" s="585" t="s">
        <v>268</v>
      </c>
      <c r="AT4" s="585" t="s">
        <v>269</v>
      </c>
      <c r="AU4" s="585" t="s">
        <v>229</v>
      </c>
      <c r="AV4" s="601" t="s">
        <v>169</v>
      </c>
      <c r="AW4" s="597" t="s">
        <v>230</v>
      </c>
      <c r="AX4" s="593" t="s">
        <v>270</v>
      </c>
      <c r="AY4" s="593" t="s">
        <v>231</v>
      </c>
      <c r="AZ4" s="597" t="s">
        <v>232</v>
      </c>
      <c r="BA4" s="595" t="s">
        <v>233</v>
      </c>
      <c r="BB4" s="588" t="s">
        <v>164</v>
      </c>
    </row>
    <row r="5" spans="1:169" ht="24.75" customHeight="1" x14ac:dyDescent="0.15">
      <c r="B5" s="181" t="s">
        <v>3</v>
      </c>
      <c r="C5" s="583"/>
      <c r="D5" s="14" t="s">
        <v>45</v>
      </c>
      <c r="E5" s="15" t="s">
        <v>46</v>
      </c>
      <c r="F5" s="15" t="s">
        <v>47</v>
      </c>
      <c r="G5" s="15" t="s">
        <v>45</v>
      </c>
      <c r="H5" s="15" t="s">
        <v>46</v>
      </c>
      <c r="I5" s="15" t="s">
        <v>47</v>
      </c>
      <c r="J5" s="15" t="s">
        <v>45</v>
      </c>
      <c r="K5" s="15" t="s">
        <v>46</v>
      </c>
      <c r="L5" s="15" t="s">
        <v>47</v>
      </c>
      <c r="M5" s="15" t="s">
        <v>45</v>
      </c>
      <c r="N5" s="15" t="s">
        <v>46</v>
      </c>
      <c r="O5" s="15" t="s">
        <v>47</v>
      </c>
      <c r="P5" s="15" t="s">
        <v>45</v>
      </c>
      <c r="Q5" s="15" t="s">
        <v>46</v>
      </c>
      <c r="R5" s="16" t="s">
        <v>47</v>
      </c>
      <c r="S5" s="589"/>
      <c r="T5" s="210"/>
      <c r="U5" s="181" t="s">
        <v>3</v>
      </c>
      <c r="V5" s="583"/>
      <c r="W5" s="17" t="s">
        <v>45</v>
      </c>
      <c r="X5" s="18" t="s">
        <v>46</v>
      </c>
      <c r="Y5" s="18" t="s">
        <v>47</v>
      </c>
      <c r="Z5" s="18" t="s">
        <v>45</v>
      </c>
      <c r="AA5" s="18" t="s">
        <v>46</v>
      </c>
      <c r="AB5" s="18" t="s">
        <v>47</v>
      </c>
      <c r="AC5" s="18" t="s">
        <v>45</v>
      </c>
      <c r="AD5" s="18" t="s">
        <v>46</v>
      </c>
      <c r="AE5" s="18" t="s">
        <v>47</v>
      </c>
      <c r="AF5" s="18" t="s">
        <v>45</v>
      </c>
      <c r="AG5" s="18" t="s">
        <v>46</v>
      </c>
      <c r="AH5" s="19" t="s">
        <v>47</v>
      </c>
      <c r="AI5" s="589"/>
      <c r="AJ5" s="210"/>
      <c r="AK5" s="181" t="s">
        <v>3</v>
      </c>
      <c r="AL5" s="583"/>
      <c r="AM5" s="20"/>
      <c r="AN5" s="18" t="s">
        <v>48</v>
      </c>
      <c r="AO5" s="586"/>
      <c r="AP5" s="586"/>
      <c r="AQ5" s="586"/>
      <c r="AR5" s="586"/>
      <c r="AS5" s="586"/>
      <c r="AT5" s="586"/>
      <c r="AU5" s="586"/>
      <c r="AV5" s="602"/>
      <c r="AW5" s="600"/>
      <c r="AX5" s="599"/>
      <c r="AY5" s="594"/>
      <c r="AZ5" s="598"/>
      <c r="BA5" s="596"/>
      <c r="BB5" s="589"/>
    </row>
    <row r="6" spans="1:169" ht="25.5" customHeight="1" x14ac:dyDescent="0.15">
      <c r="B6" s="404" t="s">
        <v>79</v>
      </c>
      <c r="C6" s="57" t="s">
        <v>80</v>
      </c>
      <c r="D6" s="182">
        <v>871.79</v>
      </c>
      <c r="E6" s="183">
        <v>670.76099999999997</v>
      </c>
      <c r="F6" s="184">
        <f>(D6-E6)</f>
        <v>201.029</v>
      </c>
      <c r="G6" s="183">
        <v>341.38</v>
      </c>
      <c r="H6" s="183">
        <v>1.585</v>
      </c>
      <c r="I6" s="184">
        <f>(G6-H6)</f>
        <v>339.79500000000002</v>
      </c>
      <c r="J6" s="183">
        <v>38981.555999999997</v>
      </c>
      <c r="K6" s="183">
        <v>36417.811000000002</v>
      </c>
      <c r="L6" s="184">
        <f>(J6-K6)</f>
        <v>2563.7449999999953</v>
      </c>
      <c r="M6" s="183">
        <v>639.06200000000001</v>
      </c>
      <c r="N6" s="183">
        <v>523.28899999999999</v>
      </c>
      <c r="O6" s="185">
        <f>(M6-N6)</f>
        <v>115.77300000000002</v>
      </c>
      <c r="P6" s="183">
        <v>81433.633000000002</v>
      </c>
      <c r="Q6" s="183">
        <v>50518.415000000001</v>
      </c>
      <c r="R6" s="186">
        <f>(P6-Q6)</f>
        <v>30915.218000000001</v>
      </c>
      <c r="S6" s="133" t="s">
        <v>80</v>
      </c>
      <c r="T6" s="201"/>
      <c r="U6" s="590" t="s">
        <v>79</v>
      </c>
      <c r="V6" s="57" t="s">
        <v>80</v>
      </c>
      <c r="W6" s="182"/>
      <c r="X6" s="183"/>
      <c r="Y6" s="184">
        <f>(W6-X6)</f>
        <v>0</v>
      </c>
      <c r="Z6" s="183"/>
      <c r="AA6" s="183"/>
      <c r="AB6" s="184">
        <f>(Z6-AA6)</f>
        <v>0</v>
      </c>
      <c r="AC6" s="183">
        <v>4311.2219999999998</v>
      </c>
      <c r="AD6" s="183">
        <v>39</v>
      </c>
      <c r="AE6" s="184">
        <f>(AC6-AD6)</f>
        <v>4272.2219999999998</v>
      </c>
      <c r="AF6" s="184">
        <f>D6+G6+J6+M6+P6+W6+Z6+AC6</f>
        <v>126578.643</v>
      </c>
      <c r="AG6" s="184">
        <f>E6+H6+K6+N6+Q6+X6+AA6+AD6</f>
        <v>88170.861000000004</v>
      </c>
      <c r="AH6" s="186">
        <f>F6+I6+L6+O6+R6+Y6+AB6+AE6</f>
        <v>38407.781999999999</v>
      </c>
      <c r="AI6" s="133" t="s">
        <v>80</v>
      </c>
      <c r="AJ6" s="201"/>
      <c r="AK6" s="590" t="s">
        <v>79</v>
      </c>
      <c r="AL6" s="57" t="s">
        <v>80</v>
      </c>
      <c r="AM6" s="60">
        <v>49112.629000000001</v>
      </c>
      <c r="AN6" s="61">
        <v>13888.016</v>
      </c>
      <c r="AO6" s="62">
        <f>(AH6-AM6)</f>
        <v>-10704.847000000002</v>
      </c>
      <c r="AP6" s="61">
        <v>47761.578000000001</v>
      </c>
      <c r="AQ6" s="61">
        <v>42299.351999999999</v>
      </c>
      <c r="AR6" s="62">
        <f>AO6+AP6-AQ6</f>
        <v>-5242.6209999999992</v>
      </c>
      <c r="AS6" s="61">
        <v>296923.81900000002</v>
      </c>
      <c r="AT6" s="63">
        <v>296879.36599999998</v>
      </c>
      <c r="AU6" s="62">
        <f>AR6+AS6-AT6</f>
        <v>-5198.1679999999469</v>
      </c>
      <c r="AV6" s="61">
        <v>185</v>
      </c>
      <c r="AW6" s="64"/>
      <c r="AX6" s="75">
        <f t="shared" ref="AX6:AX8" si="0">AU6-AV6+AW6</f>
        <v>-5383.1679999999469</v>
      </c>
      <c r="AY6" s="65">
        <v>-283104.55499999999</v>
      </c>
      <c r="AZ6" s="65"/>
      <c r="BA6" s="66">
        <f>AX6+AY6+AZ6</f>
        <v>-288487.72299999994</v>
      </c>
      <c r="BB6" s="57" t="s">
        <v>80</v>
      </c>
    </row>
    <row r="7" spans="1:169" ht="25.5" customHeight="1" x14ac:dyDescent="0.15">
      <c r="B7" s="405"/>
      <c r="C7" s="58" t="s">
        <v>81</v>
      </c>
      <c r="D7" s="187">
        <v>999.73900000000003</v>
      </c>
      <c r="E7" s="188">
        <v>20.63</v>
      </c>
      <c r="F7" s="185">
        <f>(D7-E7)</f>
        <v>979.10900000000004</v>
      </c>
      <c r="G7" s="188">
        <v>76.417000000000002</v>
      </c>
      <c r="H7" s="188"/>
      <c r="I7" s="185">
        <f>(G7-H7)</f>
        <v>76.417000000000002</v>
      </c>
      <c r="J7" s="188">
        <v>1211.395</v>
      </c>
      <c r="K7" s="188">
        <v>1712.731</v>
      </c>
      <c r="L7" s="185">
        <f>(J7-K7)</f>
        <v>-501.33600000000001</v>
      </c>
      <c r="M7" s="188">
        <v>40829.43</v>
      </c>
      <c r="N7" s="188">
        <v>38605.750999999997</v>
      </c>
      <c r="O7" s="185">
        <f>(M7-N7)</f>
        <v>2223.6790000000037</v>
      </c>
      <c r="P7" s="188">
        <v>175878.88099999999</v>
      </c>
      <c r="Q7" s="188">
        <v>102246.33900000001</v>
      </c>
      <c r="R7" s="189">
        <f>(P7-Q7)</f>
        <v>73632.541999999987</v>
      </c>
      <c r="S7" s="134" t="s">
        <v>81</v>
      </c>
      <c r="T7" s="201"/>
      <c r="U7" s="591"/>
      <c r="V7" s="58" t="s">
        <v>81</v>
      </c>
      <c r="W7" s="187"/>
      <c r="X7" s="188"/>
      <c r="Y7" s="185">
        <f>(W7-X7)</f>
        <v>0</v>
      </c>
      <c r="Z7" s="188"/>
      <c r="AA7" s="188"/>
      <c r="AB7" s="185">
        <f>(Z7-AA7)</f>
        <v>0</v>
      </c>
      <c r="AC7" s="188">
        <f>3000+10478.683</f>
        <v>13478.683000000001</v>
      </c>
      <c r="AD7" s="188">
        <f>0+10478.683</f>
        <v>10478.683000000001</v>
      </c>
      <c r="AE7" s="185">
        <f>(AC7-AD7)</f>
        <v>3000</v>
      </c>
      <c r="AF7" s="185">
        <f t="shared" ref="AF7:AF20" si="1">D7+G7+J7+M7+P7+W7+Z7+AC7</f>
        <v>232474.54499999998</v>
      </c>
      <c r="AG7" s="185">
        <f>E7+H7+K7+N7+Q7+X7+AA7+AD7</f>
        <v>153064.13399999999</v>
      </c>
      <c r="AH7" s="189">
        <f t="shared" ref="AH7:AH20" si="2">F7+I7+L7+O7+R7+Y7+AB7+AE7</f>
        <v>79410.410999999993</v>
      </c>
      <c r="AI7" s="134" t="s">
        <v>81</v>
      </c>
      <c r="AJ7" s="201"/>
      <c r="AK7" s="591"/>
      <c r="AL7" s="58" t="s">
        <v>81</v>
      </c>
      <c r="AM7" s="67">
        <v>28527.123</v>
      </c>
      <c r="AN7" s="68">
        <v>23825.401999999998</v>
      </c>
      <c r="AO7" s="62">
        <f>(AH7-AM7)</f>
        <v>50883.287999999993</v>
      </c>
      <c r="AP7" s="68">
        <v>8163.6189999999997</v>
      </c>
      <c r="AQ7" s="68">
        <v>6799.7790000000005</v>
      </c>
      <c r="AR7" s="62">
        <f t="shared" ref="AR7:AR20" si="3">AO7+AP7-AQ7</f>
        <v>52247.12799999999</v>
      </c>
      <c r="AS7" s="68">
        <v>38</v>
      </c>
      <c r="AT7" s="69">
        <v>3.0000000000000001E-3</v>
      </c>
      <c r="AU7" s="62">
        <f>AR7+AS7-AT7</f>
        <v>52285.124999999993</v>
      </c>
      <c r="AV7" s="68">
        <v>11620.8</v>
      </c>
      <c r="AW7" s="70">
        <v>-473.608</v>
      </c>
      <c r="AX7" s="75">
        <f>AU7-AV7+AW7</f>
        <v>40190.716999999997</v>
      </c>
      <c r="AY7" s="62">
        <v>9220.2049999999999</v>
      </c>
      <c r="AZ7" s="62"/>
      <c r="BA7" s="71">
        <f>AX7+AY7+AZ7</f>
        <v>49410.921999999999</v>
      </c>
      <c r="BB7" s="58" t="s">
        <v>81</v>
      </c>
    </row>
    <row r="8" spans="1:169" ht="25.5" customHeight="1" x14ac:dyDescent="0.15">
      <c r="B8" s="405"/>
      <c r="C8" s="58" t="s">
        <v>82</v>
      </c>
      <c r="D8" s="187"/>
      <c r="E8" s="188"/>
      <c r="F8" s="185">
        <f>(D8-E8)</f>
        <v>0</v>
      </c>
      <c r="G8" s="188"/>
      <c r="H8" s="188"/>
      <c r="I8" s="185">
        <f>(G8-H8)</f>
        <v>0</v>
      </c>
      <c r="J8" s="188"/>
      <c r="K8" s="188"/>
      <c r="L8" s="185">
        <f>(J8-K8)</f>
        <v>0</v>
      </c>
      <c r="M8" s="188"/>
      <c r="N8" s="188"/>
      <c r="O8" s="185">
        <f>(M8-N8)</f>
        <v>0</v>
      </c>
      <c r="P8" s="188"/>
      <c r="Q8" s="188"/>
      <c r="R8" s="189">
        <f>(P8-Q8)</f>
        <v>0</v>
      </c>
      <c r="S8" s="134" t="s">
        <v>82</v>
      </c>
      <c r="T8" s="201"/>
      <c r="U8" s="591"/>
      <c r="V8" s="58" t="s">
        <v>82</v>
      </c>
      <c r="W8" s="187">
        <v>223055.511</v>
      </c>
      <c r="X8" s="188">
        <v>183599.995</v>
      </c>
      <c r="Y8" s="185">
        <f>(W8-X8)</f>
        <v>39455.516000000003</v>
      </c>
      <c r="Z8" s="188"/>
      <c r="AA8" s="188"/>
      <c r="AB8" s="185">
        <f>(Z8-AA8)</f>
        <v>0</v>
      </c>
      <c r="AC8" s="188"/>
      <c r="AD8" s="188"/>
      <c r="AE8" s="185">
        <f>(AC8-AD8)</f>
        <v>0</v>
      </c>
      <c r="AF8" s="185">
        <f t="shared" si="1"/>
        <v>223055.511</v>
      </c>
      <c r="AG8" s="185">
        <f t="shared" ref="AG8:AG20" si="4">E8+H8+K8+N8+Q8+X8+AA8+AD8</f>
        <v>183599.995</v>
      </c>
      <c r="AH8" s="189">
        <f t="shared" si="2"/>
        <v>39455.516000000003</v>
      </c>
      <c r="AI8" s="134" t="s">
        <v>82</v>
      </c>
      <c r="AJ8" s="201"/>
      <c r="AK8" s="591"/>
      <c r="AL8" s="58" t="s">
        <v>82</v>
      </c>
      <c r="AM8" s="67">
        <v>22589.803</v>
      </c>
      <c r="AN8" s="68">
        <v>19580.271000000001</v>
      </c>
      <c r="AO8" s="62">
        <f>(AH8-AM8)</f>
        <v>16865.713000000003</v>
      </c>
      <c r="AP8" s="68">
        <v>8229.7420000000002</v>
      </c>
      <c r="AQ8" s="68">
        <v>5865.9110000000001</v>
      </c>
      <c r="AR8" s="62">
        <f t="shared" si="3"/>
        <v>19229.544000000002</v>
      </c>
      <c r="AS8" s="68">
        <v>14200</v>
      </c>
      <c r="AT8" s="69">
        <v>2E-3</v>
      </c>
      <c r="AU8" s="62">
        <f>AR8+AS8-AT8</f>
        <v>33429.542000000001</v>
      </c>
      <c r="AV8" s="68">
        <v>5223.3</v>
      </c>
      <c r="AW8" s="70"/>
      <c r="AX8" s="75">
        <f t="shared" si="0"/>
        <v>28206.242000000002</v>
      </c>
      <c r="AY8" s="62">
        <v>-6502.384</v>
      </c>
      <c r="AZ8" s="62"/>
      <c r="BA8" s="71">
        <f t="shared" ref="BA8:BA17" si="5">AX8+AY8+AZ8</f>
        <v>21703.858</v>
      </c>
      <c r="BB8" s="58" t="s">
        <v>82</v>
      </c>
    </row>
    <row r="9" spans="1:169" ht="25.5" customHeight="1" x14ac:dyDescent="0.15">
      <c r="B9" s="406"/>
      <c r="C9" s="59" t="s">
        <v>7</v>
      </c>
      <c r="D9" s="190">
        <f>SUM(D6:D8)</f>
        <v>1871.529</v>
      </c>
      <c r="E9" s="191">
        <f>SUM(E6:E8)</f>
        <v>691.39099999999996</v>
      </c>
      <c r="F9" s="191">
        <f>(D9-E9)</f>
        <v>1180.1379999999999</v>
      </c>
      <c r="G9" s="191">
        <f t="shared" ref="G9:P9" si="6">SUM(G6:G8)</f>
        <v>417.79700000000003</v>
      </c>
      <c r="H9" s="191">
        <f t="shared" si="6"/>
        <v>1.585</v>
      </c>
      <c r="I9" s="191">
        <f t="shared" si="6"/>
        <v>416.21199999999999</v>
      </c>
      <c r="J9" s="192">
        <f t="shared" si="6"/>
        <v>40192.950999999994</v>
      </c>
      <c r="K9" s="192">
        <f t="shared" si="6"/>
        <v>38130.542000000001</v>
      </c>
      <c r="L9" s="191">
        <f t="shared" si="6"/>
        <v>2062.4089999999951</v>
      </c>
      <c r="M9" s="191">
        <f t="shared" si="6"/>
        <v>41468.491999999998</v>
      </c>
      <c r="N9" s="191">
        <f t="shared" si="6"/>
        <v>39129.039999999994</v>
      </c>
      <c r="O9" s="191">
        <f t="shared" si="6"/>
        <v>2339.4520000000039</v>
      </c>
      <c r="P9" s="191">
        <f t="shared" si="6"/>
        <v>257312.514</v>
      </c>
      <c r="Q9" s="191">
        <f t="shared" ref="Q9:AD9" si="7">SUM(Q6:Q8)</f>
        <v>152764.75400000002</v>
      </c>
      <c r="R9" s="193">
        <f t="shared" si="7"/>
        <v>104547.75999999998</v>
      </c>
      <c r="S9" s="136" t="s">
        <v>7</v>
      </c>
      <c r="T9" s="201"/>
      <c r="U9" s="592"/>
      <c r="V9" s="59" t="s">
        <v>7</v>
      </c>
      <c r="W9" s="190">
        <f t="shared" si="7"/>
        <v>223055.511</v>
      </c>
      <c r="X9" s="191">
        <f t="shared" si="7"/>
        <v>183599.995</v>
      </c>
      <c r="Y9" s="191">
        <f t="shared" si="7"/>
        <v>39455.516000000003</v>
      </c>
      <c r="Z9" s="191">
        <f t="shared" si="7"/>
        <v>0</v>
      </c>
      <c r="AA9" s="191">
        <f t="shared" si="7"/>
        <v>0</v>
      </c>
      <c r="AB9" s="191">
        <f t="shared" si="7"/>
        <v>0</v>
      </c>
      <c r="AC9" s="191">
        <f t="shared" si="7"/>
        <v>17789.904999999999</v>
      </c>
      <c r="AD9" s="191">
        <f t="shared" si="7"/>
        <v>10517.683000000001</v>
      </c>
      <c r="AE9" s="199">
        <f t="shared" ref="AE9:AQ9" si="8">SUM(AE6:AE8)</f>
        <v>7272.2219999999998</v>
      </c>
      <c r="AF9" s="194">
        <f t="shared" si="1"/>
        <v>582108.69900000002</v>
      </c>
      <c r="AG9" s="194">
        <f t="shared" si="4"/>
        <v>424834.99000000005</v>
      </c>
      <c r="AH9" s="195">
        <f t="shared" si="2"/>
        <v>157273.70899999997</v>
      </c>
      <c r="AI9" s="136" t="s">
        <v>7</v>
      </c>
      <c r="AJ9" s="201"/>
      <c r="AK9" s="592"/>
      <c r="AL9" s="59" t="s">
        <v>7</v>
      </c>
      <c r="AM9" s="72">
        <f t="shared" si="8"/>
        <v>100229.55500000001</v>
      </c>
      <c r="AN9" s="73">
        <f t="shared" si="8"/>
        <v>57293.688999999998</v>
      </c>
      <c r="AO9" s="73">
        <f t="shared" si="8"/>
        <v>57044.153999999995</v>
      </c>
      <c r="AP9" s="73">
        <f t="shared" si="8"/>
        <v>64154.938999999998</v>
      </c>
      <c r="AQ9" s="73">
        <f t="shared" si="8"/>
        <v>54965.042000000001</v>
      </c>
      <c r="AR9" s="73">
        <f t="shared" si="3"/>
        <v>66234.050999999992</v>
      </c>
      <c r="AS9" s="73">
        <f t="shared" ref="AS9:AZ9" si="9">SUM(AS6:AS8)</f>
        <v>311161.81900000002</v>
      </c>
      <c r="AT9" s="74">
        <f t="shared" si="9"/>
        <v>296879.37099999998</v>
      </c>
      <c r="AU9" s="73">
        <f>SUM(AU6:AU8)</f>
        <v>80516.49900000004</v>
      </c>
      <c r="AV9" s="73">
        <f>SUM(AV6:AV8)</f>
        <v>17029.099999999999</v>
      </c>
      <c r="AW9" s="73">
        <f t="shared" si="9"/>
        <v>-473.608</v>
      </c>
      <c r="AX9" s="75">
        <f>AU9-AV9+AW9</f>
        <v>63013.791000000041</v>
      </c>
      <c r="AY9" s="73">
        <f t="shared" si="9"/>
        <v>-280386.734</v>
      </c>
      <c r="AZ9" s="73">
        <f t="shared" si="9"/>
        <v>0</v>
      </c>
      <c r="BA9" s="76">
        <f>SUM(BA6:BA8)</f>
        <v>-217372.94299999994</v>
      </c>
      <c r="BB9" s="59" t="s">
        <v>7</v>
      </c>
    </row>
    <row r="10" spans="1:169" ht="25.5" customHeight="1" x14ac:dyDescent="0.15">
      <c r="B10" s="263"/>
      <c r="C10" s="57" t="s">
        <v>84</v>
      </c>
      <c r="D10" s="182"/>
      <c r="E10" s="183"/>
      <c r="F10" s="184">
        <f>(D10-E10)</f>
        <v>0</v>
      </c>
      <c r="G10" s="183"/>
      <c r="H10" s="183"/>
      <c r="I10" s="184">
        <f>(G10-H10)</f>
        <v>0</v>
      </c>
      <c r="J10" s="183">
        <v>42901.752</v>
      </c>
      <c r="K10" s="183">
        <v>38849.910000000003</v>
      </c>
      <c r="L10" s="184">
        <f>(J10-K10)</f>
        <v>4051.8419999999969</v>
      </c>
      <c r="M10" s="183"/>
      <c r="N10" s="183"/>
      <c r="O10" s="184">
        <f>(M10-N10)</f>
        <v>0</v>
      </c>
      <c r="P10" s="183">
        <v>55186.186999999998</v>
      </c>
      <c r="Q10" s="183">
        <v>52783.313999999998</v>
      </c>
      <c r="R10" s="186">
        <f>(P10-Q10)</f>
        <v>2402.8729999999996</v>
      </c>
      <c r="S10" s="133" t="s">
        <v>84</v>
      </c>
      <c r="T10" s="201"/>
      <c r="U10" s="265"/>
      <c r="V10" s="57" t="s">
        <v>84</v>
      </c>
      <c r="W10" s="182"/>
      <c r="X10" s="183"/>
      <c r="Y10" s="184">
        <f>(W10-X10)</f>
        <v>0</v>
      </c>
      <c r="Z10" s="183"/>
      <c r="AA10" s="183"/>
      <c r="AB10" s="184">
        <f>(Z10-AA10)</f>
        <v>0</v>
      </c>
      <c r="AC10" s="183">
        <v>588</v>
      </c>
      <c r="AD10" s="183"/>
      <c r="AE10" s="184">
        <f>(AC10-AD10)</f>
        <v>588</v>
      </c>
      <c r="AF10" s="184">
        <f t="shared" si="1"/>
        <v>98675.938999999998</v>
      </c>
      <c r="AG10" s="184">
        <f t="shared" si="4"/>
        <v>91633.224000000002</v>
      </c>
      <c r="AH10" s="186">
        <f t="shared" si="2"/>
        <v>7042.7149999999965</v>
      </c>
      <c r="AI10" s="133" t="s">
        <v>84</v>
      </c>
      <c r="AJ10" s="201"/>
      <c r="AK10" s="265"/>
      <c r="AL10" s="57" t="s">
        <v>84</v>
      </c>
      <c r="AM10" s="60">
        <v>21266.132000000001</v>
      </c>
      <c r="AN10" s="61">
        <v>14074.718999999999</v>
      </c>
      <c r="AO10" s="65">
        <f>(AH10-AM10)</f>
        <v>-14223.417000000005</v>
      </c>
      <c r="AP10" s="61">
        <v>10337.156999999999</v>
      </c>
      <c r="AQ10" s="61">
        <v>2134.3020000000001</v>
      </c>
      <c r="AR10" s="65">
        <f t="shared" si="3"/>
        <v>-6020.5620000000054</v>
      </c>
      <c r="AS10" s="61">
        <v>43.186999999999998</v>
      </c>
      <c r="AT10" s="63"/>
      <c r="AU10" s="65">
        <f>AR10+AS10-AT10</f>
        <v>-5977.3750000000055</v>
      </c>
      <c r="AV10" s="61">
        <v>185</v>
      </c>
      <c r="AW10" s="64"/>
      <c r="AX10" s="266">
        <f>AU10-AV10+AW10</f>
        <v>-6162.3750000000055</v>
      </c>
      <c r="AY10" s="65">
        <v>88734.732000000004</v>
      </c>
      <c r="AZ10" s="267"/>
      <c r="BA10" s="71">
        <f t="shared" si="5"/>
        <v>82572.357000000004</v>
      </c>
      <c r="BB10" s="57" t="s">
        <v>84</v>
      </c>
    </row>
    <row r="11" spans="1:169" ht="25.5" customHeight="1" x14ac:dyDescent="0.15">
      <c r="B11" s="270" t="s">
        <v>9</v>
      </c>
      <c r="C11" s="58" t="s">
        <v>85</v>
      </c>
      <c r="D11" s="187"/>
      <c r="E11" s="188"/>
      <c r="F11" s="185">
        <f>D11-E11</f>
        <v>0</v>
      </c>
      <c r="G11" s="188">
        <v>143.55600000000001</v>
      </c>
      <c r="H11" s="188">
        <v>0.13</v>
      </c>
      <c r="I11" s="185">
        <f>(G11-H11)</f>
        <v>143.42600000000002</v>
      </c>
      <c r="J11" s="188">
        <v>8914.36</v>
      </c>
      <c r="K11" s="188">
        <v>8693.6170000000002</v>
      </c>
      <c r="L11" s="185">
        <f>(J11-K11)</f>
        <v>220.74300000000039</v>
      </c>
      <c r="M11" s="188"/>
      <c r="N11" s="188"/>
      <c r="O11" s="185">
        <f>(M11-N11)</f>
        <v>0</v>
      </c>
      <c r="P11" s="188">
        <f>121203.521+48178.458</f>
        <v>169381.97899999999</v>
      </c>
      <c r="Q11" s="188">
        <f>75152.257+26679.098</f>
        <v>101831.355</v>
      </c>
      <c r="R11" s="189">
        <f>(P11-Q11)</f>
        <v>67550.623999999996</v>
      </c>
      <c r="S11" s="134" t="s">
        <v>85</v>
      </c>
      <c r="T11" s="201"/>
      <c r="U11" s="272" t="s">
        <v>9</v>
      </c>
      <c r="V11" s="58" t="s">
        <v>85</v>
      </c>
      <c r="W11" s="187"/>
      <c r="X11" s="188"/>
      <c r="Y11" s="185">
        <f>(W11-X11)</f>
        <v>0</v>
      </c>
      <c r="Z11" s="188"/>
      <c r="AA11" s="188"/>
      <c r="AB11" s="185">
        <f>(Z11-AA11)</f>
        <v>0</v>
      </c>
      <c r="AC11" s="188">
        <f>726.406+1073.553</f>
        <v>1799.9590000000001</v>
      </c>
      <c r="AD11" s="273">
        <v>1180.549</v>
      </c>
      <c r="AE11" s="185">
        <f>(AC11-AD11)</f>
        <v>619.41000000000008</v>
      </c>
      <c r="AF11" s="185">
        <f t="shared" si="1"/>
        <v>180239.85399999999</v>
      </c>
      <c r="AG11" s="185">
        <f t="shared" si="4"/>
        <v>111705.651</v>
      </c>
      <c r="AH11" s="189">
        <f t="shared" si="2"/>
        <v>68534.202999999994</v>
      </c>
      <c r="AI11" s="134" t="s">
        <v>85</v>
      </c>
      <c r="AJ11" s="201"/>
      <c r="AK11" s="272" t="s">
        <v>9</v>
      </c>
      <c r="AL11" s="58" t="s">
        <v>85</v>
      </c>
      <c r="AM11" s="67">
        <v>65163.955000000002</v>
      </c>
      <c r="AN11" s="68">
        <v>37454.623</v>
      </c>
      <c r="AO11" s="62">
        <f>(AH11-AM11)</f>
        <v>3370.2479999999923</v>
      </c>
      <c r="AP11" s="68">
        <v>6571.6319999999996</v>
      </c>
      <c r="AQ11" s="68">
        <v>3182.7669999999998</v>
      </c>
      <c r="AR11" s="62">
        <f t="shared" si="3"/>
        <v>6759.1129999999921</v>
      </c>
      <c r="AS11" s="68">
        <v>12215.574000000001</v>
      </c>
      <c r="AT11" s="69">
        <v>8293.0030000000006</v>
      </c>
      <c r="AU11" s="62">
        <f>AR11+AS11-AT11</f>
        <v>10681.68399999999</v>
      </c>
      <c r="AV11" s="68">
        <v>2328.6570000000002</v>
      </c>
      <c r="AW11" s="70"/>
      <c r="AX11" s="274">
        <f t="shared" ref="AX11:AX18" si="10">AU11-AV11+AW11</f>
        <v>8353.0269999999909</v>
      </c>
      <c r="AY11" s="62">
        <v>80576.483999999997</v>
      </c>
      <c r="AZ11" s="275"/>
      <c r="BA11" s="71">
        <f t="shared" si="5"/>
        <v>88929.510999999984</v>
      </c>
      <c r="BB11" s="58" t="s">
        <v>85</v>
      </c>
    </row>
    <row r="12" spans="1:169" ht="25.5" customHeight="1" x14ac:dyDescent="0.15">
      <c r="A12" s="577" t="s">
        <v>325</v>
      </c>
      <c r="B12" s="270"/>
      <c r="C12" s="58" t="s">
        <v>262</v>
      </c>
      <c r="D12" s="187"/>
      <c r="E12" s="188"/>
      <c r="F12" s="185">
        <f>D12-E12</f>
        <v>0</v>
      </c>
      <c r="G12" s="188">
        <v>217.25899999999999</v>
      </c>
      <c r="H12" s="188">
        <v>6.5000000000000002E-2</v>
      </c>
      <c r="I12" s="185">
        <f>(G12-H12)</f>
        <v>217.19399999999999</v>
      </c>
      <c r="J12" s="188">
        <v>8261.4950000000008</v>
      </c>
      <c r="K12" s="188">
        <v>7190.49</v>
      </c>
      <c r="L12" s="185">
        <f>(J12-K12)</f>
        <v>1071.005000000001</v>
      </c>
      <c r="M12" s="188"/>
      <c r="N12" s="188"/>
      <c r="O12" s="185">
        <f>(M12-N12)</f>
        <v>0</v>
      </c>
      <c r="P12" s="188">
        <f>47367.688+89963.096</f>
        <v>137330.78400000001</v>
      </c>
      <c r="Q12" s="188">
        <f>44172.693+65447.553</f>
        <v>109620.246</v>
      </c>
      <c r="R12" s="189">
        <f>(P12-Q12)</f>
        <v>27710.538000000015</v>
      </c>
      <c r="S12" s="134" t="s">
        <v>260</v>
      </c>
      <c r="T12" s="463" t="s">
        <v>326</v>
      </c>
      <c r="U12" s="272"/>
      <c r="V12" s="58" t="s">
        <v>260</v>
      </c>
      <c r="W12" s="187"/>
      <c r="X12" s="188"/>
      <c r="Y12" s="185">
        <f>(W12-X12)</f>
        <v>0</v>
      </c>
      <c r="Z12" s="188"/>
      <c r="AA12" s="188"/>
      <c r="AB12" s="185">
        <f>(Z12-AA12)</f>
        <v>0</v>
      </c>
      <c r="AC12" s="188">
        <f>8491.859+50</f>
        <v>8541.8590000000004</v>
      </c>
      <c r="AD12" s="188">
        <f>11298.565</f>
        <v>11298.565000000001</v>
      </c>
      <c r="AE12" s="185">
        <f>(AC12-AD12)</f>
        <v>-2756.7060000000001</v>
      </c>
      <c r="AF12" s="185">
        <f>D12+G12+J12+M12+P12+W12+Z12+AC12</f>
        <v>154351.397</v>
      </c>
      <c r="AG12" s="185">
        <f>E12+H12+K12+N12+Q12+X12+AA12+AD12</f>
        <v>128109.36599999999</v>
      </c>
      <c r="AH12" s="189">
        <f t="shared" si="2"/>
        <v>26242.031000000017</v>
      </c>
      <c r="AI12" s="134" t="s">
        <v>260</v>
      </c>
      <c r="AJ12" s="463" t="s">
        <v>327</v>
      </c>
      <c r="AK12" s="272"/>
      <c r="AL12" s="58" t="s">
        <v>260</v>
      </c>
      <c r="AM12" s="67">
        <v>32725.504000000001</v>
      </c>
      <c r="AN12" s="68">
        <v>24358.392</v>
      </c>
      <c r="AO12" s="62">
        <f>(AH12-AM12)</f>
        <v>-6483.4729999999836</v>
      </c>
      <c r="AP12" s="68">
        <v>11134.165000000001</v>
      </c>
      <c r="AQ12" s="68">
        <v>5475.8339999999998</v>
      </c>
      <c r="AR12" s="62">
        <f t="shared" si="3"/>
        <v>-825.14199999998254</v>
      </c>
      <c r="AS12" s="68">
        <v>74087.585000000006</v>
      </c>
      <c r="AT12" s="69">
        <v>71123.154999999999</v>
      </c>
      <c r="AU12" s="62">
        <f>AR12+AS12-AT12</f>
        <v>2139.2880000000296</v>
      </c>
      <c r="AV12" s="68">
        <v>643.67999999999995</v>
      </c>
      <c r="AW12" s="70"/>
      <c r="AX12" s="274">
        <f t="shared" si="10"/>
        <v>1495.6080000000297</v>
      </c>
      <c r="AY12" s="62">
        <v>6764.1760000000004</v>
      </c>
      <c r="AZ12" s="275"/>
      <c r="BA12" s="71">
        <f t="shared" si="5"/>
        <v>8259.7840000000306</v>
      </c>
      <c r="BB12" s="58" t="s">
        <v>260</v>
      </c>
    </row>
    <row r="13" spans="1:169" ht="25.5" customHeight="1" x14ac:dyDescent="0.15">
      <c r="A13" s="577"/>
      <c r="B13" s="270" t="s">
        <v>87</v>
      </c>
      <c r="C13" s="58" t="s">
        <v>86</v>
      </c>
      <c r="D13" s="187"/>
      <c r="E13" s="188"/>
      <c r="F13" s="185">
        <f>D13-E13</f>
        <v>0</v>
      </c>
      <c r="G13" s="188"/>
      <c r="H13" s="188"/>
      <c r="I13" s="185">
        <f>(G13-H13)</f>
        <v>0</v>
      </c>
      <c r="J13" s="188">
        <v>1771.646</v>
      </c>
      <c r="K13" s="188">
        <v>568.23599999999999</v>
      </c>
      <c r="L13" s="185">
        <f>(J13-K13)</f>
        <v>1203.4099999999999</v>
      </c>
      <c r="M13" s="188"/>
      <c r="N13" s="188"/>
      <c r="O13" s="185">
        <f>(M13-N13)</f>
        <v>0</v>
      </c>
      <c r="P13" s="188"/>
      <c r="Q13" s="188"/>
      <c r="R13" s="189">
        <f>(P13-Q13)</f>
        <v>0</v>
      </c>
      <c r="S13" s="134" t="s">
        <v>86</v>
      </c>
      <c r="T13" s="463"/>
      <c r="U13" s="272" t="s">
        <v>87</v>
      </c>
      <c r="V13" s="58" t="s">
        <v>86</v>
      </c>
      <c r="W13" s="187"/>
      <c r="X13" s="188"/>
      <c r="Y13" s="185">
        <f>(W13-X13)</f>
        <v>0</v>
      </c>
      <c r="Z13" s="188"/>
      <c r="AA13" s="188"/>
      <c r="AB13" s="185">
        <f>(Z13-AA13)</f>
        <v>0</v>
      </c>
      <c r="AC13" s="188"/>
      <c r="AD13" s="188"/>
      <c r="AE13" s="194">
        <f>(AC13-AD13)</f>
        <v>0</v>
      </c>
      <c r="AF13" s="185">
        <f t="shared" si="1"/>
        <v>1771.646</v>
      </c>
      <c r="AG13" s="185">
        <f t="shared" si="4"/>
        <v>568.23599999999999</v>
      </c>
      <c r="AH13" s="189">
        <f t="shared" si="2"/>
        <v>1203.4099999999999</v>
      </c>
      <c r="AI13" s="134" t="s">
        <v>86</v>
      </c>
      <c r="AJ13" s="463"/>
      <c r="AK13" s="272" t="s">
        <v>87</v>
      </c>
      <c r="AL13" s="58" t="s">
        <v>86</v>
      </c>
      <c r="AM13" s="67">
        <v>1249.0250000000001</v>
      </c>
      <c r="AN13" s="68">
        <v>720</v>
      </c>
      <c r="AO13" s="62">
        <f>(AH13-AM13)</f>
        <v>-45.615000000000236</v>
      </c>
      <c r="AP13" s="68">
        <f>1148.206+45.615</f>
        <v>1193.8209999999999</v>
      </c>
      <c r="AQ13" s="68"/>
      <c r="AR13" s="62">
        <f t="shared" si="3"/>
        <v>1148.2059999999997</v>
      </c>
      <c r="AS13" s="68"/>
      <c r="AT13" s="69"/>
      <c r="AU13" s="62">
        <f>AR13+AS13-AT13</f>
        <v>1148.2059999999997</v>
      </c>
      <c r="AV13" s="68">
        <v>299.8</v>
      </c>
      <c r="AW13" s="70"/>
      <c r="AX13" s="274">
        <f t="shared" si="10"/>
        <v>848.40599999999972</v>
      </c>
      <c r="AY13" s="62">
        <v>6434.2640000000001</v>
      </c>
      <c r="AZ13" s="275"/>
      <c r="BA13" s="71">
        <f t="shared" si="5"/>
        <v>7282.67</v>
      </c>
      <c r="BB13" s="58" t="s">
        <v>86</v>
      </c>
    </row>
    <row r="14" spans="1:169" ht="25.5" customHeight="1" x14ac:dyDescent="0.15">
      <c r="A14" s="282"/>
      <c r="B14" s="280"/>
      <c r="C14" s="59" t="s">
        <v>88</v>
      </c>
      <c r="D14" s="190">
        <f t="shared" ref="D14:M14" si="11">SUM(D10:D13)</f>
        <v>0</v>
      </c>
      <c r="E14" s="191">
        <f t="shared" si="11"/>
        <v>0</v>
      </c>
      <c r="F14" s="191">
        <f t="shared" si="11"/>
        <v>0</v>
      </c>
      <c r="G14" s="191">
        <f t="shared" si="11"/>
        <v>360.815</v>
      </c>
      <c r="H14" s="191">
        <f t="shared" si="11"/>
        <v>0.19500000000000001</v>
      </c>
      <c r="I14" s="191">
        <f t="shared" si="11"/>
        <v>360.62</v>
      </c>
      <c r="J14" s="191">
        <f t="shared" si="11"/>
        <v>61849.253000000004</v>
      </c>
      <c r="K14" s="191">
        <f t="shared" si="11"/>
        <v>55302.252999999997</v>
      </c>
      <c r="L14" s="191">
        <f t="shared" si="11"/>
        <v>6546.9999999999982</v>
      </c>
      <c r="M14" s="191">
        <f t="shared" si="11"/>
        <v>0</v>
      </c>
      <c r="N14" s="191">
        <f t="shared" ref="N14:AA14" si="12">SUM(N10:N13)</f>
        <v>0</v>
      </c>
      <c r="O14" s="191">
        <f t="shared" si="12"/>
        <v>0</v>
      </c>
      <c r="P14" s="191">
        <f t="shared" si="12"/>
        <v>361898.95</v>
      </c>
      <c r="Q14" s="191">
        <f t="shared" si="12"/>
        <v>264234.91499999998</v>
      </c>
      <c r="R14" s="193">
        <f t="shared" si="12"/>
        <v>97664.035000000018</v>
      </c>
      <c r="S14" s="136" t="s">
        <v>88</v>
      </c>
      <c r="T14" s="283"/>
      <c r="U14" s="284"/>
      <c r="V14" s="59" t="s">
        <v>88</v>
      </c>
      <c r="W14" s="190">
        <f t="shared" si="12"/>
        <v>0</v>
      </c>
      <c r="X14" s="191">
        <f t="shared" si="12"/>
        <v>0</v>
      </c>
      <c r="Y14" s="191">
        <f t="shared" si="12"/>
        <v>0</v>
      </c>
      <c r="Z14" s="191">
        <f t="shared" si="12"/>
        <v>0</v>
      </c>
      <c r="AA14" s="191">
        <f t="shared" si="12"/>
        <v>0</v>
      </c>
      <c r="AB14" s="191">
        <f t="shared" ref="AB14:AO14" si="13">SUM(AB10:AB13)</f>
        <v>0</v>
      </c>
      <c r="AC14" s="191">
        <f t="shared" si="13"/>
        <v>10929.817999999999</v>
      </c>
      <c r="AD14" s="191">
        <f t="shared" si="13"/>
        <v>12479.114000000001</v>
      </c>
      <c r="AE14" s="191">
        <f t="shared" si="13"/>
        <v>-1549.296</v>
      </c>
      <c r="AF14" s="199">
        <f t="shared" si="1"/>
        <v>435038.83600000001</v>
      </c>
      <c r="AG14" s="199">
        <f t="shared" si="4"/>
        <v>332016.47699999996</v>
      </c>
      <c r="AH14" s="285">
        <f t="shared" si="2"/>
        <v>103022.35900000001</v>
      </c>
      <c r="AI14" s="136" t="s">
        <v>88</v>
      </c>
      <c r="AJ14" s="283"/>
      <c r="AK14" s="284"/>
      <c r="AL14" s="59" t="s">
        <v>88</v>
      </c>
      <c r="AM14" s="286">
        <f t="shared" si="13"/>
        <v>120404.61599999999</v>
      </c>
      <c r="AN14" s="287">
        <f t="shared" si="13"/>
        <v>76607.733999999997</v>
      </c>
      <c r="AO14" s="287">
        <f t="shared" si="13"/>
        <v>-17382.256999999998</v>
      </c>
      <c r="AP14" s="287">
        <f t="shared" ref="AP14:AW14" si="14">SUM(AP10:AP13)</f>
        <v>29236.774999999998</v>
      </c>
      <c r="AQ14" s="287">
        <f t="shared" si="14"/>
        <v>10792.902999999998</v>
      </c>
      <c r="AR14" s="287">
        <f t="shared" si="3"/>
        <v>1061.6150000000016</v>
      </c>
      <c r="AS14" s="287">
        <f t="shared" si="14"/>
        <v>86346.346000000005</v>
      </c>
      <c r="AT14" s="288">
        <f t="shared" si="14"/>
        <v>79416.157999999996</v>
      </c>
      <c r="AU14" s="287">
        <f t="shared" si="14"/>
        <v>7991.8030000000144</v>
      </c>
      <c r="AV14" s="287">
        <f t="shared" si="14"/>
        <v>3457.1370000000002</v>
      </c>
      <c r="AW14" s="287">
        <f t="shared" si="14"/>
        <v>0</v>
      </c>
      <c r="AX14" s="289">
        <f t="shared" si="10"/>
        <v>4534.6660000000138</v>
      </c>
      <c r="AY14" s="287">
        <f>SUM(AY10:AY13)</f>
        <v>182509.65600000002</v>
      </c>
      <c r="AZ14" s="288">
        <f>SUM(AZ10:AZ13)</f>
        <v>0</v>
      </c>
      <c r="BA14" s="76">
        <f>SUM(BA10:BA13)</f>
        <v>187044.32200000004</v>
      </c>
      <c r="BB14" s="59" t="s">
        <v>88</v>
      </c>
    </row>
    <row r="15" spans="1:169" ht="25.5" customHeight="1" x14ac:dyDescent="0.15">
      <c r="B15" s="581" t="s">
        <v>177</v>
      </c>
      <c r="C15" s="296" t="s">
        <v>257</v>
      </c>
      <c r="D15" s="297"/>
      <c r="E15" s="273"/>
      <c r="F15" s="194">
        <f>(D15-E15)</f>
        <v>0</v>
      </c>
      <c r="G15" s="273"/>
      <c r="H15" s="273"/>
      <c r="I15" s="194">
        <f>(G15-H15)</f>
        <v>0</v>
      </c>
      <c r="J15" s="273">
        <v>185101.508</v>
      </c>
      <c r="K15" s="273">
        <v>180187.46299999999</v>
      </c>
      <c r="L15" s="194">
        <f>(J15-K15)</f>
        <v>4914.0450000000128</v>
      </c>
      <c r="M15" s="273"/>
      <c r="N15" s="273"/>
      <c r="O15" s="194">
        <f>(M15-N15)</f>
        <v>0</v>
      </c>
      <c r="P15" s="273">
        <v>22850.131000000001</v>
      </c>
      <c r="Q15" s="273">
        <v>25448.633999999998</v>
      </c>
      <c r="R15" s="195">
        <f>(P15-Q15)</f>
        <v>-2598.502999999997</v>
      </c>
      <c r="S15" s="298" t="s">
        <v>258</v>
      </c>
      <c r="T15" s="201"/>
      <c r="U15" s="581" t="s">
        <v>177</v>
      </c>
      <c r="V15" s="296" t="s">
        <v>258</v>
      </c>
      <c r="W15" s="297">
        <v>11534.28</v>
      </c>
      <c r="X15" s="273"/>
      <c r="Y15" s="194">
        <f>(W15-X15)</f>
        <v>11534.28</v>
      </c>
      <c r="Z15" s="273"/>
      <c r="AA15" s="273"/>
      <c r="AB15" s="194">
        <f>(Z15-AA15)</f>
        <v>0</v>
      </c>
      <c r="AC15" s="273">
        <v>33690</v>
      </c>
      <c r="AD15" s="273"/>
      <c r="AE15" s="194">
        <f>(AC15-AD15)</f>
        <v>33690</v>
      </c>
      <c r="AF15" s="194">
        <f>D15+G15+J15+M15+P15+W15+Z15+AC15</f>
        <v>253175.91899999999</v>
      </c>
      <c r="AG15" s="194">
        <f>E15+H15+K15+N15+Q15+X15+AA15+AD15</f>
        <v>205636.09699999998</v>
      </c>
      <c r="AH15" s="195">
        <f>F15+I15+L15+O15+R15+Y15+AB15+AE15</f>
        <v>47539.822000000015</v>
      </c>
      <c r="AI15" s="298" t="s">
        <v>258</v>
      </c>
      <c r="AJ15" s="201"/>
      <c r="AK15" s="581" t="s">
        <v>177</v>
      </c>
      <c r="AL15" s="296" t="s">
        <v>258</v>
      </c>
      <c r="AM15" s="299">
        <v>55546</v>
      </c>
      <c r="AN15" s="300">
        <v>9113.2630000000008</v>
      </c>
      <c r="AO15" s="301">
        <f>(AH15-AM15)</f>
        <v>-8006.1779999999853</v>
      </c>
      <c r="AP15" s="300">
        <v>16241.752</v>
      </c>
      <c r="AQ15" s="300">
        <v>52213.974999999999</v>
      </c>
      <c r="AR15" s="301">
        <f t="shared" si="3"/>
        <v>-43978.400999999983</v>
      </c>
      <c r="AS15" s="300">
        <v>11990.696</v>
      </c>
      <c r="AT15" s="302">
        <v>47.335999999999999</v>
      </c>
      <c r="AU15" s="275">
        <f>AR15+AS15-AT15</f>
        <v>-32035.040999999983</v>
      </c>
      <c r="AV15" s="300">
        <v>185</v>
      </c>
      <c r="AW15" s="303"/>
      <c r="AX15" s="304">
        <f>AU15-AV15+AW15</f>
        <v>-32220.040999999983</v>
      </c>
      <c r="AY15" s="301">
        <v>-54021.067000000003</v>
      </c>
      <c r="AZ15" s="305"/>
      <c r="BA15" s="306">
        <f>AX15+AY15+AZ15</f>
        <v>-86241.107999999978</v>
      </c>
      <c r="BB15" s="296" t="s">
        <v>258</v>
      </c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307"/>
      <c r="CX15" s="307"/>
      <c r="CY15" s="307"/>
      <c r="CZ15" s="307"/>
      <c r="DA15" s="307"/>
      <c r="DB15" s="307"/>
      <c r="DC15" s="307"/>
      <c r="DD15" s="307"/>
      <c r="DE15" s="307"/>
      <c r="DF15" s="307"/>
      <c r="DG15" s="307"/>
      <c r="DH15" s="307"/>
      <c r="DI15" s="307"/>
      <c r="DJ15" s="307"/>
      <c r="DK15" s="307"/>
      <c r="DL15" s="307"/>
      <c r="DM15" s="307"/>
      <c r="DN15" s="307"/>
      <c r="DO15" s="307"/>
      <c r="DP15" s="307"/>
      <c r="DQ15" s="307"/>
      <c r="DR15" s="307"/>
      <c r="DS15" s="307"/>
      <c r="DT15" s="307"/>
      <c r="DU15" s="307"/>
      <c r="DV15" s="307"/>
      <c r="DW15" s="307"/>
      <c r="DX15" s="307"/>
      <c r="DY15" s="307"/>
      <c r="DZ15" s="307"/>
      <c r="EA15" s="307"/>
      <c r="EB15" s="307"/>
      <c r="EC15" s="307"/>
      <c r="ED15" s="307"/>
      <c r="EE15" s="307"/>
      <c r="EF15" s="307"/>
      <c r="EG15" s="307"/>
      <c r="EH15" s="307"/>
      <c r="EI15" s="307"/>
      <c r="EJ15" s="307"/>
      <c r="EK15" s="307"/>
      <c r="EL15" s="307"/>
      <c r="EM15" s="307"/>
      <c r="EN15" s="307"/>
      <c r="EO15" s="307"/>
      <c r="EP15" s="307"/>
      <c r="EQ15" s="307"/>
      <c r="ER15" s="307"/>
      <c r="ES15" s="307"/>
      <c r="ET15" s="307"/>
      <c r="EU15" s="307"/>
      <c r="EV15" s="307"/>
      <c r="EW15" s="307"/>
      <c r="EX15" s="307"/>
      <c r="EY15" s="307"/>
      <c r="EZ15" s="307"/>
      <c r="FA15" s="307"/>
      <c r="FB15" s="307"/>
      <c r="FC15" s="307"/>
      <c r="FD15" s="307"/>
      <c r="FE15" s="307"/>
      <c r="FF15" s="307"/>
      <c r="FG15" s="307"/>
      <c r="FH15" s="307"/>
      <c r="FI15" s="307"/>
      <c r="FJ15" s="307"/>
      <c r="FK15" s="307"/>
      <c r="FL15" s="307"/>
      <c r="FM15" s="307"/>
    </row>
    <row r="16" spans="1:169" ht="25.5" customHeight="1" x14ac:dyDescent="0.15">
      <c r="B16" s="405"/>
      <c r="C16" s="58" t="s">
        <v>199</v>
      </c>
      <c r="D16" s="187"/>
      <c r="E16" s="188"/>
      <c r="F16" s="185">
        <f>D16-E16</f>
        <v>0</v>
      </c>
      <c r="G16" s="188">
        <v>209.69399999999999</v>
      </c>
      <c r="H16" s="188"/>
      <c r="I16" s="185">
        <f>(G16-H16)</f>
        <v>209.69399999999999</v>
      </c>
      <c r="J16" s="310">
        <v>3359.8449999999998</v>
      </c>
      <c r="K16" s="310">
        <v>3182.9250000000002</v>
      </c>
      <c r="L16" s="185">
        <f>(J16-K16)</f>
        <v>176.91999999999962</v>
      </c>
      <c r="M16" s="188">
        <v>315211.79700000002</v>
      </c>
      <c r="N16" s="188">
        <v>311002.01799999998</v>
      </c>
      <c r="O16" s="185">
        <f>(M16-N16)</f>
        <v>4209.7790000000386</v>
      </c>
      <c r="P16" s="188">
        <v>68832.437999999995</v>
      </c>
      <c r="Q16" s="188">
        <v>68443.838000000003</v>
      </c>
      <c r="R16" s="189">
        <f>(P16-Q16)</f>
        <v>388.59999999999127</v>
      </c>
      <c r="S16" s="134" t="s">
        <v>199</v>
      </c>
      <c r="T16" s="201"/>
      <c r="U16" s="405"/>
      <c r="V16" s="58" t="s">
        <v>199</v>
      </c>
      <c r="W16" s="187"/>
      <c r="X16" s="188"/>
      <c r="Y16" s="185">
        <f>(W16-X16)</f>
        <v>0</v>
      </c>
      <c r="Z16" s="188"/>
      <c r="AA16" s="188"/>
      <c r="AB16" s="185">
        <f>(Z16-AA16)</f>
        <v>0</v>
      </c>
      <c r="AC16" s="188">
        <v>7156.92</v>
      </c>
      <c r="AD16" s="188">
        <v>3238.2249999999999</v>
      </c>
      <c r="AE16" s="185">
        <f>(AC16-AD16)</f>
        <v>3918.6950000000002</v>
      </c>
      <c r="AF16" s="185">
        <f t="shared" si="1"/>
        <v>394770.69399999996</v>
      </c>
      <c r="AG16" s="185">
        <f t="shared" si="4"/>
        <v>385867.00599999994</v>
      </c>
      <c r="AH16" s="189">
        <f t="shared" si="2"/>
        <v>8903.6880000000292</v>
      </c>
      <c r="AI16" s="134" t="s">
        <v>199</v>
      </c>
      <c r="AJ16" s="201"/>
      <c r="AK16" s="405"/>
      <c r="AL16" s="58" t="s">
        <v>199</v>
      </c>
      <c r="AM16" s="67">
        <v>11654.575999999999</v>
      </c>
      <c r="AN16" s="68">
        <v>6805.5240000000003</v>
      </c>
      <c r="AO16" s="62">
        <f>(AH16-AM16)</f>
        <v>-2750.8879999999699</v>
      </c>
      <c r="AP16" s="68">
        <v>8468.6350000000002</v>
      </c>
      <c r="AQ16" s="68">
        <v>20629.642</v>
      </c>
      <c r="AR16" s="62">
        <f t="shared" si="3"/>
        <v>-14911.89499999997</v>
      </c>
      <c r="AS16" s="68">
        <v>50</v>
      </c>
      <c r="AT16" s="69"/>
      <c r="AU16" s="275">
        <f>AR16+AS16-AT16</f>
        <v>-14861.89499999997</v>
      </c>
      <c r="AV16" s="68">
        <v>185</v>
      </c>
      <c r="AW16" s="70"/>
      <c r="AX16" s="274">
        <f t="shared" si="10"/>
        <v>-15046.89499999997</v>
      </c>
      <c r="AY16" s="62">
        <v>434.32100000000003</v>
      </c>
      <c r="AZ16" s="275"/>
      <c r="BA16" s="71">
        <f t="shared" si="5"/>
        <v>-14612.57399999997</v>
      </c>
      <c r="BB16" s="58" t="s">
        <v>199</v>
      </c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7"/>
      <c r="CL16" s="307"/>
      <c r="CM16" s="307"/>
      <c r="CN16" s="307"/>
      <c r="CO16" s="307"/>
      <c r="CP16" s="307"/>
      <c r="CQ16" s="307"/>
      <c r="CR16" s="307"/>
      <c r="CS16" s="307"/>
      <c r="CT16" s="307"/>
      <c r="CU16" s="307"/>
      <c r="CV16" s="307"/>
      <c r="CW16" s="307"/>
      <c r="CX16" s="307"/>
      <c r="CY16" s="307"/>
      <c r="CZ16" s="307"/>
      <c r="DA16" s="307"/>
      <c r="DB16" s="307"/>
      <c r="DC16" s="307"/>
      <c r="DD16" s="307"/>
      <c r="DE16" s="307"/>
      <c r="DF16" s="307"/>
      <c r="DG16" s="307"/>
      <c r="DH16" s="307"/>
      <c r="DI16" s="307"/>
      <c r="DJ16" s="307"/>
      <c r="DK16" s="307"/>
      <c r="DL16" s="307"/>
      <c r="DM16" s="307"/>
      <c r="DN16" s="307"/>
      <c r="DO16" s="307"/>
      <c r="DP16" s="307"/>
      <c r="DQ16" s="307"/>
      <c r="DR16" s="307"/>
      <c r="DS16" s="307"/>
      <c r="DT16" s="307"/>
      <c r="DU16" s="307"/>
      <c r="DV16" s="307"/>
      <c r="DW16" s="307"/>
      <c r="DX16" s="307"/>
      <c r="DY16" s="307"/>
      <c r="DZ16" s="307"/>
      <c r="EA16" s="307"/>
      <c r="EB16" s="307"/>
      <c r="EC16" s="307"/>
      <c r="ED16" s="307"/>
      <c r="EE16" s="307"/>
      <c r="EF16" s="307"/>
      <c r="EG16" s="307"/>
      <c r="EH16" s="307"/>
      <c r="EI16" s="307"/>
      <c r="EJ16" s="307"/>
      <c r="EK16" s="307"/>
      <c r="EL16" s="307"/>
      <c r="EM16" s="307"/>
      <c r="EN16" s="307"/>
      <c r="EO16" s="307"/>
      <c r="EP16" s="307"/>
      <c r="EQ16" s="307"/>
      <c r="ER16" s="307"/>
      <c r="ES16" s="307"/>
      <c r="ET16" s="307"/>
      <c r="EU16" s="307"/>
      <c r="EV16" s="307"/>
      <c r="EW16" s="307"/>
      <c r="EX16" s="307"/>
      <c r="EY16" s="307"/>
      <c r="EZ16" s="307"/>
      <c r="FA16" s="307"/>
      <c r="FB16" s="307"/>
      <c r="FC16" s="307"/>
      <c r="FD16" s="307"/>
      <c r="FE16" s="307"/>
      <c r="FF16" s="307"/>
      <c r="FG16" s="307"/>
      <c r="FH16" s="307"/>
      <c r="FI16" s="307"/>
      <c r="FJ16" s="307"/>
      <c r="FK16" s="307"/>
      <c r="FL16" s="307"/>
      <c r="FM16" s="307"/>
    </row>
    <row r="17" spans="2:169" ht="25.5" customHeight="1" x14ac:dyDescent="0.15">
      <c r="B17" s="405"/>
      <c r="C17" s="58" t="s">
        <v>200</v>
      </c>
      <c r="D17" s="187"/>
      <c r="E17" s="188"/>
      <c r="F17" s="185">
        <f>D17-E17</f>
        <v>0</v>
      </c>
      <c r="G17" s="188"/>
      <c r="H17" s="188"/>
      <c r="I17" s="185">
        <f>(G17-H17)</f>
        <v>0</v>
      </c>
      <c r="J17" s="188"/>
      <c r="K17" s="188"/>
      <c r="L17" s="185">
        <f>(J17-K17)</f>
        <v>0</v>
      </c>
      <c r="M17" s="188"/>
      <c r="N17" s="188"/>
      <c r="O17" s="185">
        <f>(M17-N17)</f>
        <v>0</v>
      </c>
      <c r="P17" s="188"/>
      <c r="Q17" s="188"/>
      <c r="R17" s="189">
        <f>(P17-Q17)</f>
        <v>0</v>
      </c>
      <c r="S17" s="134" t="s">
        <v>200</v>
      </c>
      <c r="T17" s="201"/>
      <c r="U17" s="405"/>
      <c r="V17" s="58" t="s">
        <v>200</v>
      </c>
      <c r="W17" s="187"/>
      <c r="X17" s="188"/>
      <c r="Y17" s="185">
        <f>(W17-X17)</f>
        <v>0</v>
      </c>
      <c r="Z17" s="188"/>
      <c r="AA17" s="188"/>
      <c r="AB17" s="185">
        <f>(Z17-AA17)</f>
        <v>0</v>
      </c>
      <c r="AC17" s="188">
        <f>129045.289+21595.26+4680+13439.427+850+5819.848</f>
        <v>175429.82399999999</v>
      </c>
      <c r="AD17" s="188">
        <f>90847.219+21293.699+4543.504+11618.586+6.35+5540.746</f>
        <v>133850.10400000002</v>
      </c>
      <c r="AE17" s="185">
        <f>(AC17-AD17)</f>
        <v>41579.719999999972</v>
      </c>
      <c r="AF17" s="185">
        <f t="shared" si="1"/>
        <v>175429.82399999999</v>
      </c>
      <c r="AG17" s="185">
        <f t="shared" si="4"/>
        <v>133850.10400000002</v>
      </c>
      <c r="AH17" s="189">
        <f t="shared" si="2"/>
        <v>41579.719999999972</v>
      </c>
      <c r="AI17" s="134" t="s">
        <v>200</v>
      </c>
      <c r="AJ17" s="201"/>
      <c r="AK17" s="405"/>
      <c r="AL17" s="58" t="s">
        <v>200</v>
      </c>
      <c r="AM17" s="67">
        <v>23548.912</v>
      </c>
      <c r="AN17" s="68">
        <v>10908.102000000001</v>
      </c>
      <c r="AO17" s="62">
        <f>(AH17-AM17)</f>
        <v>18030.807999999972</v>
      </c>
      <c r="AP17" s="68">
        <v>5498.17</v>
      </c>
      <c r="AQ17" s="68">
        <v>204.035</v>
      </c>
      <c r="AR17" s="62">
        <f t="shared" si="3"/>
        <v>23324.942999999974</v>
      </c>
      <c r="AS17" s="69"/>
      <c r="AT17" s="69"/>
      <c r="AU17" s="275">
        <f>AR17+AS17-AT17</f>
        <v>23324.942999999974</v>
      </c>
      <c r="AV17" s="68">
        <v>4680.3</v>
      </c>
      <c r="AW17" s="70"/>
      <c r="AX17" s="274">
        <f t="shared" si="10"/>
        <v>18644.642999999975</v>
      </c>
      <c r="AY17" s="62"/>
      <c r="AZ17" s="275"/>
      <c r="BA17" s="71">
        <f t="shared" si="5"/>
        <v>18644.642999999975</v>
      </c>
      <c r="BB17" s="58" t="s">
        <v>200</v>
      </c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307"/>
      <c r="EH17" s="307"/>
      <c r="EI17" s="307"/>
      <c r="EJ17" s="307"/>
      <c r="EK17" s="307"/>
      <c r="EL17" s="307"/>
      <c r="EM17" s="307"/>
      <c r="EN17" s="307"/>
      <c r="EO17" s="307"/>
      <c r="EP17" s="307"/>
      <c r="EQ17" s="307"/>
      <c r="ER17" s="307"/>
      <c r="ES17" s="307"/>
      <c r="ET17" s="307"/>
      <c r="EU17" s="307"/>
      <c r="EV17" s="307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</row>
    <row r="18" spans="2:169" ht="25.5" customHeight="1" x14ac:dyDescent="0.15">
      <c r="B18" s="405"/>
      <c r="C18" s="58" t="s">
        <v>201</v>
      </c>
      <c r="D18" s="187"/>
      <c r="E18" s="188"/>
      <c r="F18" s="185">
        <f>D18-E18</f>
        <v>0</v>
      </c>
      <c r="G18" s="188"/>
      <c r="H18" s="188"/>
      <c r="I18" s="185">
        <f>(G18-H18)</f>
        <v>0</v>
      </c>
      <c r="J18" s="188">
        <v>209777.05499999999</v>
      </c>
      <c r="K18" s="188">
        <v>163720.05900000001</v>
      </c>
      <c r="L18" s="185">
        <f>(J18-K18)</f>
        <v>46056.995999999985</v>
      </c>
      <c r="M18" s="188">
        <f>29767.278+346087.351</f>
        <v>375854.62900000002</v>
      </c>
      <c r="N18" s="188">
        <v>470505.74099999998</v>
      </c>
      <c r="O18" s="185">
        <f>(M18-N18)</f>
        <v>-94651.111999999965</v>
      </c>
      <c r="P18" s="188">
        <f>298202.907+41057.47</f>
        <v>339260.37699999998</v>
      </c>
      <c r="Q18" s="188">
        <v>1289.8620000000001</v>
      </c>
      <c r="R18" s="189">
        <f>(P18-Q18)</f>
        <v>337970.51499999996</v>
      </c>
      <c r="S18" s="134" t="s">
        <v>201</v>
      </c>
      <c r="T18" s="201"/>
      <c r="U18" s="405"/>
      <c r="V18" s="58" t="s">
        <v>201</v>
      </c>
      <c r="W18" s="187"/>
      <c r="X18" s="188"/>
      <c r="Y18" s="185">
        <f>(W18-X18)</f>
        <v>0</v>
      </c>
      <c r="Z18" s="188"/>
      <c r="AA18" s="188"/>
      <c r="AB18" s="185">
        <f>(Z18-AA18)</f>
        <v>0</v>
      </c>
      <c r="AC18" s="188">
        <f>73605.544+36516.814</f>
        <v>110122.35799999999</v>
      </c>
      <c r="AD18" s="188">
        <f>1013923.866-470505.741-163720.059-1289.862</f>
        <v>378408.20399999997</v>
      </c>
      <c r="AE18" s="185">
        <f>(AC18-AD18)</f>
        <v>-268285.84599999996</v>
      </c>
      <c r="AF18" s="185">
        <f t="shared" si="1"/>
        <v>1035014.419</v>
      </c>
      <c r="AG18" s="185">
        <f t="shared" si="4"/>
        <v>1013923.8659999999</v>
      </c>
      <c r="AH18" s="189">
        <f t="shared" si="2"/>
        <v>21090.553000000014</v>
      </c>
      <c r="AI18" s="134" t="s">
        <v>201</v>
      </c>
      <c r="AJ18" s="201"/>
      <c r="AK18" s="405"/>
      <c r="AL18" s="58" t="s">
        <v>201</v>
      </c>
      <c r="AM18" s="67">
        <v>93671.875</v>
      </c>
      <c r="AN18" s="68">
        <f>9348+5623.171+374+909.753+1927.191+4127.446+399.532</f>
        <v>22709.093000000001</v>
      </c>
      <c r="AO18" s="62">
        <f>(AH18-AM18)</f>
        <v>-72581.321999999986</v>
      </c>
      <c r="AP18" s="68">
        <v>20619.378000000001</v>
      </c>
      <c r="AQ18" s="68">
        <v>27859.583999999999</v>
      </c>
      <c r="AR18" s="62">
        <f t="shared" si="3"/>
        <v>-79821.527999999991</v>
      </c>
      <c r="AS18" s="69">
        <v>120625.069</v>
      </c>
      <c r="AT18" s="69">
        <v>68112.705000000002</v>
      </c>
      <c r="AU18" s="275">
        <f>AR18+AS18-AT18</f>
        <v>-27309.16399999999</v>
      </c>
      <c r="AV18" s="68">
        <v>185</v>
      </c>
      <c r="AW18" s="70"/>
      <c r="AX18" s="354">
        <f t="shared" si="10"/>
        <v>-27494.16399999999</v>
      </c>
      <c r="AY18" s="62">
        <v>-94289.811000000002</v>
      </c>
      <c r="AZ18" s="275"/>
      <c r="BA18" s="71">
        <f>AX18+AY18+AZ18</f>
        <v>-121783.97499999999</v>
      </c>
      <c r="BB18" s="58" t="s">
        <v>201</v>
      </c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  <c r="EH18" s="307"/>
      <c r="EI18" s="307"/>
      <c r="EJ18" s="307"/>
      <c r="EK18" s="307"/>
      <c r="EL18" s="307"/>
      <c r="EM18" s="307"/>
      <c r="EN18" s="307"/>
      <c r="EO18" s="307"/>
      <c r="EP18" s="307"/>
      <c r="EQ18" s="307"/>
      <c r="ER18" s="307"/>
      <c r="ES18" s="307"/>
      <c r="ET18" s="307"/>
      <c r="EU18" s="307"/>
      <c r="EV18" s="307"/>
      <c r="EW18" s="307"/>
      <c r="EX18" s="307"/>
      <c r="EY18" s="307"/>
      <c r="EZ18" s="307"/>
      <c r="FA18" s="307"/>
      <c r="FB18" s="307"/>
      <c r="FC18" s="307"/>
      <c r="FD18" s="307"/>
      <c r="FE18" s="307"/>
      <c r="FF18" s="307"/>
      <c r="FG18" s="307"/>
      <c r="FH18" s="307"/>
      <c r="FI18" s="307"/>
      <c r="FJ18" s="307"/>
      <c r="FK18" s="307"/>
      <c r="FL18" s="307"/>
      <c r="FM18" s="307"/>
    </row>
    <row r="19" spans="2:169" s="44" customFormat="1" ht="25.5" customHeight="1" x14ac:dyDescent="0.15">
      <c r="B19" s="406"/>
      <c r="C19" s="352" t="s">
        <v>178</v>
      </c>
      <c r="D19" s="190">
        <f t="shared" ref="D19:M19" si="15">SUM(D15:D18)</f>
        <v>0</v>
      </c>
      <c r="E19" s="191">
        <f t="shared" si="15"/>
        <v>0</v>
      </c>
      <c r="F19" s="191">
        <f t="shared" si="15"/>
        <v>0</v>
      </c>
      <c r="G19" s="191">
        <f t="shared" si="15"/>
        <v>209.69399999999999</v>
      </c>
      <c r="H19" s="191">
        <f t="shared" si="15"/>
        <v>0</v>
      </c>
      <c r="I19" s="191">
        <f t="shared" si="15"/>
        <v>209.69399999999999</v>
      </c>
      <c r="J19" s="192">
        <f t="shared" si="15"/>
        <v>398238.408</v>
      </c>
      <c r="K19" s="192">
        <f t="shared" si="15"/>
        <v>347090.44699999999</v>
      </c>
      <c r="L19" s="191">
        <f t="shared" si="15"/>
        <v>51147.960999999996</v>
      </c>
      <c r="M19" s="192">
        <f t="shared" si="15"/>
        <v>691066.42599999998</v>
      </c>
      <c r="N19" s="192">
        <f t="shared" ref="N19:AA19" si="16">SUM(N15:N18)</f>
        <v>781507.75899999996</v>
      </c>
      <c r="O19" s="191">
        <f t="shared" si="16"/>
        <v>-90441.332999999926</v>
      </c>
      <c r="P19" s="191">
        <f t="shared" si="16"/>
        <v>430942.946</v>
      </c>
      <c r="Q19" s="191">
        <f t="shared" si="16"/>
        <v>95182.334000000003</v>
      </c>
      <c r="R19" s="193">
        <f t="shared" si="16"/>
        <v>335760.61199999996</v>
      </c>
      <c r="S19" s="353" t="s">
        <v>178</v>
      </c>
      <c r="T19" s="336"/>
      <c r="U19" s="406"/>
      <c r="V19" s="352" t="s">
        <v>178</v>
      </c>
      <c r="W19" s="190">
        <f t="shared" si="16"/>
        <v>11534.28</v>
      </c>
      <c r="X19" s="191">
        <f t="shared" si="16"/>
        <v>0</v>
      </c>
      <c r="Y19" s="191">
        <f t="shared" si="16"/>
        <v>11534.28</v>
      </c>
      <c r="Z19" s="191">
        <f t="shared" si="16"/>
        <v>0</v>
      </c>
      <c r="AA19" s="191">
        <f t="shared" si="16"/>
        <v>0</v>
      </c>
      <c r="AB19" s="191">
        <f t="shared" ref="AB19:AO19" si="17">SUM(AB15:AB18)</f>
        <v>0</v>
      </c>
      <c r="AC19" s="191">
        <f t="shared" si="17"/>
        <v>326399.10200000001</v>
      </c>
      <c r="AD19" s="191">
        <f t="shared" si="17"/>
        <v>515496.533</v>
      </c>
      <c r="AE19" s="199">
        <f t="shared" si="17"/>
        <v>-189097.43099999998</v>
      </c>
      <c r="AF19" s="194">
        <f t="shared" si="1"/>
        <v>1858390.8559999999</v>
      </c>
      <c r="AG19" s="194">
        <f t="shared" si="4"/>
        <v>1739277.0730000001</v>
      </c>
      <c r="AH19" s="195">
        <f t="shared" si="2"/>
        <v>119113.78300000005</v>
      </c>
      <c r="AI19" s="353" t="s">
        <v>178</v>
      </c>
      <c r="AJ19" s="336"/>
      <c r="AK19" s="406"/>
      <c r="AL19" s="352" t="s">
        <v>178</v>
      </c>
      <c r="AM19" s="355">
        <f t="shared" si="17"/>
        <v>184421.36300000001</v>
      </c>
      <c r="AN19" s="74">
        <f t="shared" si="17"/>
        <v>49535.982000000004</v>
      </c>
      <c r="AO19" s="74">
        <f t="shared" si="17"/>
        <v>-65307.579999999973</v>
      </c>
      <c r="AP19" s="74">
        <f t="shared" ref="AP19:AX19" si="18">SUM(AP15:AP18)</f>
        <v>50827.934999999998</v>
      </c>
      <c r="AQ19" s="74">
        <f t="shared" si="18"/>
        <v>100907.236</v>
      </c>
      <c r="AR19" s="73">
        <f t="shared" si="3"/>
        <v>-115386.88099999998</v>
      </c>
      <c r="AS19" s="74">
        <f t="shared" si="18"/>
        <v>132665.76500000001</v>
      </c>
      <c r="AT19" s="74">
        <f t="shared" si="18"/>
        <v>68160.040999999997</v>
      </c>
      <c r="AU19" s="74">
        <f t="shared" si="18"/>
        <v>-50881.156999999963</v>
      </c>
      <c r="AV19" s="74">
        <f t="shared" si="18"/>
        <v>5235.3</v>
      </c>
      <c r="AW19" s="74">
        <f t="shared" si="18"/>
        <v>0</v>
      </c>
      <c r="AX19" s="356">
        <f t="shared" si="18"/>
        <v>-56116.456999999966</v>
      </c>
      <c r="AY19" s="73">
        <f>SUM(AY15:AY18)</f>
        <v>-147876.557</v>
      </c>
      <c r="AZ19" s="74">
        <f>SUM(AZ15:AZ18)</f>
        <v>0</v>
      </c>
      <c r="BA19" s="71">
        <f>SUM(BA15:BA18)</f>
        <v>-203993.01399999997</v>
      </c>
      <c r="BB19" s="352" t="s">
        <v>178</v>
      </c>
    </row>
    <row r="20" spans="2:169" s="44" customFormat="1" ht="25.5" customHeight="1" x14ac:dyDescent="0.15">
      <c r="B20" s="578" t="s">
        <v>216</v>
      </c>
      <c r="C20" s="579"/>
      <c r="D20" s="196">
        <f t="shared" ref="D20:R20" si="19">((D9+D14)+D19)</f>
        <v>1871.529</v>
      </c>
      <c r="E20" s="197">
        <f t="shared" si="19"/>
        <v>691.39099999999996</v>
      </c>
      <c r="F20" s="197">
        <f t="shared" si="19"/>
        <v>1180.1379999999999</v>
      </c>
      <c r="G20" s="197">
        <f t="shared" si="19"/>
        <v>988.30600000000004</v>
      </c>
      <c r="H20" s="197">
        <f t="shared" si="19"/>
        <v>1.78</v>
      </c>
      <c r="I20" s="197">
        <f t="shared" si="19"/>
        <v>986.52599999999995</v>
      </c>
      <c r="J20" s="197">
        <f t="shared" si="19"/>
        <v>500280.61199999996</v>
      </c>
      <c r="K20" s="197">
        <f t="shared" si="19"/>
        <v>440523.24199999997</v>
      </c>
      <c r="L20" s="197">
        <f t="shared" si="19"/>
        <v>59757.369999999988</v>
      </c>
      <c r="M20" s="197">
        <f t="shared" si="19"/>
        <v>732534.91799999995</v>
      </c>
      <c r="N20" s="197">
        <f t="shared" si="19"/>
        <v>820636.799</v>
      </c>
      <c r="O20" s="197">
        <f t="shared" si="19"/>
        <v>-88101.880999999921</v>
      </c>
      <c r="P20" s="197">
        <f t="shared" si="19"/>
        <v>1050154.4100000001</v>
      </c>
      <c r="Q20" s="197">
        <f t="shared" si="19"/>
        <v>512182.00300000003</v>
      </c>
      <c r="R20" s="198">
        <f t="shared" si="19"/>
        <v>537972.40699999989</v>
      </c>
      <c r="S20" s="212" t="s">
        <v>140</v>
      </c>
      <c r="T20" s="211"/>
      <c r="U20" s="603" t="s">
        <v>142</v>
      </c>
      <c r="V20" s="604"/>
      <c r="W20" s="196">
        <f t="shared" ref="W20:AE20" si="20">((W9+W14)+W19)</f>
        <v>234589.791</v>
      </c>
      <c r="X20" s="197">
        <f t="shared" si="20"/>
        <v>183599.995</v>
      </c>
      <c r="Y20" s="197">
        <f t="shared" si="20"/>
        <v>50989.796000000002</v>
      </c>
      <c r="Z20" s="197">
        <f t="shared" si="20"/>
        <v>0</v>
      </c>
      <c r="AA20" s="197">
        <f t="shared" si="20"/>
        <v>0</v>
      </c>
      <c r="AB20" s="197">
        <f t="shared" si="20"/>
        <v>0</v>
      </c>
      <c r="AC20" s="197">
        <f t="shared" si="20"/>
        <v>355118.82500000001</v>
      </c>
      <c r="AD20" s="197">
        <f t="shared" si="20"/>
        <v>538493.32999999996</v>
      </c>
      <c r="AE20" s="197">
        <f t="shared" si="20"/>
        <v>-183374.50499999998</v>
      </c>
      <c r="AF20" s="197">
        <f t="shared" si="1"/>
        <v>2875538.3910000008</v>
      </c>
      <c r="AG20" s="197">
        <f t="shared" si="4"/>
        <v>2496128.54</v>
      </c>
      <c r="AH20" s="198">
        <f t="shared" si="2"/>
        <v>379409.85099999991</v>
      </c>
      <c r="AI20" s="212" t="s">
        <v>140</v>
      </c>
      <c r="AJ20" s="211"/>
      <c r="AK20" s="603" t="s">
        <v>142</v>
      </c>
      <c r="AL20" s="604"/>
      <c r="AM20" s="77">
        <f t="shared" ref="AM20:BA20" si="21">((AM9+AM14)+AM19)</f>
        <v>405055.53399999999</v>
      </c>
      <c r="AN20" s="78">
        <f t="shared" si="21"/>
        <v>183437.40500000003</v>
      </c>
      <c r="AO20" s="78">
        <f t="shared" si="21"/>
        <v>-25645.682999999975</v>
      </c>
      <c r="AP20" s="78">
        <f t="shared" si="21"/>
        <v>144219.64899999998</v>
      </c>
      <c r="AQ20" s="78">
        <f t="shared" si="21"/>
        <v>166665.18100000001</v>
      </c>
      <c r="AR20" s="78">
        <f t="shared" si="3"/>
        <v>-48091.215000000011</v>
      </c>
      <c r="AS20" s="78">
        <f t="shared" si="21"/>
        <v>530173.93000000005</v>
      </c>
      <c r="AT20" s="78">
        <f t="shared" si="21"/>
        <v>444455.56999999995</v>
      </c>
      <c r="AU20" s="78">
        <f t="shared" si="21"/>
        <v>37627.145000000091</v>
      </c>
      <c r="AV20" s="78">
        <f t="shared" si="21"/>
        <v>25721.536999999997</v>
      </c>
      <c r="AW20" s="78">
        <f t="shared" si="21"/>
        <v>-473.608</v>
      </c>
      <c r="AX20" s="79">
        <f>((AX9+AX14)+AX19)</f>
        <v>11432.000000000087</v>
      </c>
      <c r="AY20" s="78">
        <f t="shared" si="21"/>
        <v>-245753.63499999998</v>
      </c>
      <c r="AZ20" s="78">
        <f t="shared" si="21"/>
        <v>0</v>
      </c>
      <c r="BA20" s="80">
        <f t="shared" si="21"/>
        <v>-234321.63499999986</v>
      </c>
      <c r="BB20" s="261" t="s">
        <v>140</v>
      </c>
    </row>
  </sheetData>
  <mergeCells count="44">
    <mergeCell ref="AK20:AL20"/>
    <mergeCell ref="AR4:AR5"/>
    <mergeCell ref="U20:V20"/>
    <mergeCell ref="AM4:AN4"/>
    <mergeCell ref="U6:U9"/>
    <mergeCell ref="AQ4:AQ5"/>
    <mergeCell ref="V4:V5"/>
    <mergeCell ref="AJ12:AJ13"/>
    <mergeCell ref="BA3:BB3"/>
    <mergeCell ref="BB4:BB5"/>
    <mergeCell ref="AK6:AK9"/>
    <mergeCell ref="U15:U19"/>
    <mergeCell ref="AY4:AY5"/>
    <mergeCell ref="AK15:AK19"/>
    <mergeCell ref="AU4:AU5"/>
    <mergeCell ref="BA4:BA5"/>
    <mergeCell ref="AZ4:AZ5"/>
    <mergeCell ref="AX4:AX5"/>
    <mergeCell ref="AW4:AW5"/>
    <mergeCell ref="AS4:AS5"/>
    <mergeCell ref="AV4:AV5"/>
    <mergeCell ref="R3:S3"/>
    <mergeCell ref="AH3:AI3"/>
    <mergeCell ref="AT4:AT5"/>
    <mergeCell ref="AO4:AO5"/>
    <mergeCell ref="AF4:AH4"/>
    <mergeCell ref="P4:R4"/>
    <mergeCell ref="W4:Y4"/>
    <mergeCell ref="Z4:AB4"/>
    <mergeCell ref="AP4:AP5"/>
    <mergeCell ref="AL4:AL5"/>
    <mergeCell ref="AC4:AE4"/>
    <mergeCell ref="AI4:AI5"/>
    <mergeCell ref="S4:S5"/>
    <mergeCell ref="M4:O4"/>
    <mergeCell ref="A12:A13"/>
    <mergeCell ref="T12:T13"/>
    <mergeCell ref="B20:C20"/>
    <mergeCell ref="D4:F4"/>
    <mergeCell ref="G4:I4"/>
    <mergeCell ref="J4:L4"/>
    <mergeCell ref="B6:B9"/>
    <mergeCell ref="B15:B19"/>
    <mergeCell ref="C4:C5"/>
  </mergeCells>
  <phoneticPr fontId="1"/>
  <printOptions horizontalCentered="1" gridLinesSet="0"/>
  <pageMargins left="0.11811023622047245" right="0.31496062992125984" top="0.74803149606299213" bottom="0.35433070866141736" header="0.31496062992125984" footer="0.31496062992125984"/>
  <pageSetup paperSize="9" scale="92" firstPageNumber="65" orientation="landscape" useFirstPageNumber="1" r:id="rId1"/>
  <headerFooter alignWithMargins="0"/>
  <colBreaks count="2" manualBreakCount="2">
    <brk id="19" max="19" man="1"/>
    <brk id="35" max="19" man="1"/>
  </colBreaks>
  <ignoredErrors>
    <ignoredError sqref="D10:E11 F10 U8:V8 AZ11 AR19:AR20 AK14:AX14 U12 AZ13 AK12 D13:E14 AX15 F11 AK9:AX9 BB9 AY14:AZ14 BB14 F6 I6 L6 O6 U6:AB6 AK6:AL6 AO6 AR6 AU6 F7 H7:I7 L7 O7 U7:AB7 AK7:AL7 AR7 AU7 AZ7 Y8:AB8 AK8:AL8 AR8 AU8 AW8 AZ8 I10 U10:AB10 AK10:AL10 AO10 AR10 AU10 BB10 I11 L11 O11 U11:AB11 AK11:AL11 AR11 F13:I13 AK13:AL13 AO13 AQ13:AU13 AW13:AX13 BB11 BB13 BB6 BB7 BB8 BA8 BA7 BA6 BA13 BA11 BA9:BA10 BA12 BA14 AW10:AX10 O13 R11:S11 L10:O10 R7:S7 R6:S6 F9:S9 F14:O14 F8:S8 U13:AB13 AE11:AI11 AE10:AI10 AE8:AI8 AE7:AI7 AE6:AI6 U9:AB9 U14:AB14 AW6 R10:S10 L13 AY9:AZ9 R13:S13 R14:S14 AE13:AI13 AE9:AI9 AE14:AI14" formula="1"/>
    <ignoredError sqref="M18:P18 P11:Q12 P15:Q16 AC7:AD7 AC15:AD18 AC10:AD12 AC8 AP13 AN18" unlockedFormula="1"/>
    <ignoredError sqref="P14:Q14 P13:Q13 AC14:AD14 AC9:AD9 AD8 AC13:AD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12</vt:i4>
      </vt:variant>
    </vt:vector>
  </HeadingPairs>
  <TitlesOfParts>
    <vt:vector size="17" baseType="lpstr">
      <vt:lpstr>組織</vt:lpstr>
      <vt:lpstr>事業1</vt:lpstr>
      <vt:lpstr>事業2</vt:lpstr>
      <vt:lpstr>貸借</vt:lpstr>
      <vt:lpstr>損益</vt:lpstr>
      <vt:lpstr>事業1!Print_Area</vt:lpstr>
      <vt:lpstr>事業2!Print_Area</vt:lpstr>
      <vt:lpstr>組織!Print_Area</vt:lpstr>
      <vt:lpstr>損益!Print_Area</vt:lpstr>
      <vt:lpstr>貸借!Print_Area</vt:lpstr>
      <vt:lpstr>事業1!Print_Area_MI</vt:lpstr>
      <vt:lpstr>事業2!Print_Area_MI</vt:lpstr>
      <vt:lpstr>組織!Print_Area_MI</vt:lpstr>
      <vt:lpstr>損益!Print_Area_MI</vt:lpstr>
      <vt:lpstr>貸借!Print_Area_MI</vt:lpstr>
      <vt:lpstr>損益!Print_Titles_MI</vt:lpstr>
      <vt:lpstr>貸借!Print_Titles_MI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修</dc:creator>
  <cp:lastModifiedBy>宮城県</cp:lastModifiedBy>
  <cp:lastPrinted>2024-03-01T07:52:22Z</cp:lastPrinted>
  <dcterms:created xsi:type="dcterms:W3CDTF">1997-12-23T23:51:37Z</dcterms:created>
  <dcterms:modified xsi:type="dcterms:W3CDTF">2024-03-01T07:52:32Z</dcterms:modified>
</cp:coreProperties>
</file>